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jmsan\Documents\Alcaldia de Bucaramanga\Informes de Gestión\"/>
    </mc:Choice>
  </mc:AlternateContent>
  <xr:revisionPtr revIDLastSave="0" documentId="13_ncr:1_{19126563-18A7-4439-9EE7-FABBD3D157BC}" xr6:coauthVersionLast="47" xr6:coauthVersionMax="47" xr10:uidLastSave="{00000000-0000-0000-0000-000000000000}"/>
  <bookViews>
    <workbookView xWindow="-108" yWindow="-108" windowWidth="23256" windowHeight="12456" xr2:uid="{B0AA6D0B-6888-408C-AEAE-C04F3D2227D6}"/>
  </bookViews>
  <sheets>
    <sheet name="Contratación SDS" sheetId="1" r:id="rId1"/>
  </sheets>
  <externalReferences>
    <externalReference r:id="rId2"/>
  </externalReferences>
  <definedNames>
    <definedName name="_xlnm._FilterDatabase" localSheetId="0" hidden="1">'Contratación SDS'!$A$4:$XFC$1097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105" i="1" l="1"/>
  <c r="L1100" i="1"/>
  <c r="L1102" i="1" s="1"/>
  <c r="U1097" i="1"/>
  <c r="D1097" i="1"/>
  <c r="B1097" i="1"/>
  <c r="U1096" i="1"/>
  <c r="D1096" i="1"/>
  <c r="B1096" i="1"/>
  <c r="U1095" i="1"/>
  <c r="D1095" i="1"/>
  <c r="B1095" i="1"/>
  <c r="U1094" i="1"/>
  <c r="D1094" i="1"/>
  <c r="B1094" i="1"/>
  <c r="U1093" i="1"/>
  <c r="D1093" i="1"/>
  <c r="B1093" i="1"/>
  <c r="U1092" i="1"/>
  <c r="D1092" i="1"/>
  <c r="B1092" i="1"/>
  <c r="U1091" i="1"/>
  <c r="D1091" i="1"/>
  <c r="B1091" i="1"/>
  <c r="U1090" i="1"/>
  <c r="D1090" i="1"/>
  <c r="B1090" i="1"/>
  <c r="U1089" i="1"/>
  <c r="D1089" i="1"/>
  <c r="B1089" i="1"/>
  <c r="U1088" i="1"/>
  <c r="D1088" i="1"/>
  <c r="B1088" i="1"/>
  <c r="U1087" i="1"/>
  <c r="D1087" i="1"/>
  <c r="B1087" i="1"/>
  <c r="U1086" i="1"/>
  <c r="D1086" i="1"/>
  <c r="B1086" i="1"/>
  <c r="U1085" i="1"/>
  <c r="D1085" i="1"/>
  <c r="B1085" i="1"/>
  <c r="U1084" i="1"/>
  <c r="D1084" i="1"/>
  <c r="B1084" i="1"/>
  <c r="U1083" i="1"/>
  <c r="D1083" i="1"/>
  <c r="B1083" i="1"/>
  <c r="U1082" i="1"/>
  <c r="D1082" i="1"/>
  <c r="B1082" i="1"/>
  <c r="U1081" i="1"/>
  <c r="D1081" i="1"/>
  <c r="B1081" i="1"/>
  <c r="U1080" i="1"/>
  <c r="D1080" i="1"/>
  <c r="B1080" i="1"/>
  <c r="U1079" i="1"/>
  <c r="D1079" i="1"/>
  <c r="B1079" i="1"/>
  <c r="U1078" i="1"/>
  <c r="D1078" i="1"/>
  <c r="B1078" i="1"/>
  <c r="U1077" i="1"/>
  <c r="D1077" i="1"/>
  <c r="B1077" i="1"/>
  <c r="U1076" i="1"/>
  <c r="D1076" i="1"/>
  <c r="B1076" i="1"/>
  <c r="U1075" i="1"/>
  <c r="D1075" i="1"/>
  <c r="B1075" i="1"/>
  <c r="U1074" i="1"/>
  <c r="D1074" i="1"/>
  <c r="B1074" i="1"/>
  <c r="U1073" i="1"/>
  <c r="D1073" i="1"/>
  <c r="B1073" i="1"/>
  <c r="U1072" i="1"/>
  <c r="D1072" i="1"/>
  <c r="B1072" i="1"/>
  <c r="U1071" i="1"/>
  <c r="D1071" i="1"/>
  <c r="B1071" i="1"/>
  <c r="U1070" i="1"/>
  <c r="D1070" i="1"/>
  <c r="B1070" i="1"/>
  <c r="U1069" i="1"/>
  <c r="D1069" i="1"/>
  <c r="B1069" i="1"/>
  <c r="U1068" i="1"/>
  <c r="D1068" i="1"/>
  <c r="B1068" i="1"/>
  <c r="U1067" i="1"/>
  <c r="D1067" i="1"/>
  <c r="B1067" i="1"/>
  <c r="U1066" i="1"/>
  <c r="D1066" i="1"/>
  <c r="B1066" i="1"/>
  <c r="U1065" i="1"/>
  <c r="D1065" i="1"/>
  <c r="B1065" i="1"/>
  <c r="U1064" i="1"/>
  <c r="D1064" i="1"/>
  <c r="B1064" i="1"/>
  <c r="U1063" i="1"/>
  <c r="D1063" i="1"/>
  <c r="B1063" i="1"/>
  <c r="U1062" i="1"/>
  <c r="D1062" i="1"/>
  <c r="B1062" i="1"/>
  <c r="U1061" i="1"/>
  <c r="D1061" i="1"/>
  <c r="B1061" i="1"/>
  <c r="U1060" i="1"/>
  <c r="D1060" i="1"/>
  <c r="B1060" i="1"/>
  <c r="U1059" i="1"/>
  <c r="D1059" i="1"/>
  <c r="B1059" i="1"/>
  <c r="U1058" i="1"/>
  <c r="D1058" i="1"/>
  <c r="B1058" i="1"/>
  <c r="U1057" i="1"/>
  <c r="D1057" i="1"/>
  <c r="B1057" i="1"/>
  <c r="U1056" i="1"/>
  <c r="D1056" i="1"/>
  <c r="B1056" i="1"/>
  <c r="U1055" i="1"/>
  <c r="D1055" i="1"/>
  <c r="B1055" i="1"/>
  <c r="U1054" i="1"/>
  <c r="D1054" i="1"/>
  <c r="B1054" i="1"/>
  <c r="U1053" i="1"/>
  <c r="D1053" i="1"/>
  <c r="B1053" i="1"/>
  <c r="U1052" i="1"/>
  <c r="D1052" i="1"/>
  <c r="B1052" i="1"/>
  <c r="U1051" i="1"/>
  <c r="D1051" i="1"/>
  <c r="B1051" i="1"/>
  <c r="U1050" i="1"/>
  <c r="D1050" i="1"/>
  <c r="B1050" i="1"/>
  <c r="U1049" i="1"/>
  <c r="D1049" i="1"/>
  <c r="B1049" i="1"/>
  <c r="U1048" i="1"/>
  <c r="D1048" i="1"/>
  <c r="B1048" i="1"/>
  <c r="U1047" i="1"/>
  <c r="D1047" i="1"/>
  <c r="B1047" i="1"/>
  <c r="U1046" i="1"/>
  <c r="D1046" i="1"/>
  <c r="B1046" i="1"/>
  <c r="U1045" i="1"/>
  <c r="D1045" i="1"/>
  <c r="B1045" i="1"/>
  <c r="U1044" i="1"/>
  <c r="D1044" i="1"/>
  <c r="B1044" i="1"/>
  <c r="U1043" i="1"/>
  <c r="D1043" i="1"/>
  <c r="B1043" i="1"/>
  <c r="U1042" i="1"/>
  <c r="D1042" i="1"/>
  <c r="B1042" i="1"/>
  <c r="U1041" i="1"/>
  <c r="D1041" i="1"/>
  <c r="B1041" i="1"/>
  <c r="U1040" i="1"/>
  <c r="D1040" i="1"/>
  <c r="B1040" i="1"/>
  <c r="U1039" i="1"/>
  <c r="D1039" i="1"/>
  <c r="B1039" i="1"/>
  <c r="U1038" i="1"/>
  <c r="D1038" i="1"/>
  <c r="B1038" i="1"/>
  <c r="U1037" i="1"/>
  <c r="D1037" i="1"/>
  <c r="B1037" i="1"/>
  <c r="U1036" i="1"/>
  <c r="D1036" i="1"/>
  <c r="B1036" i="1"/>
  <c r="U1035" i="1"/>
  <c r="D1035" i="1"/>
  <c r="B1035" i="1"/>
  <c r="U1034" i="1"/>
  <c r="D1034" i="1"/>
  <c r="B1034" i="1"/>
  <c r="U1033" i="1"/>
  <c r="D1033" i="1"/>
  <c r="B1033" i="1"/>
  <c r="U1032" i="1"/>
  <c r="D1032" i="1"/>
  <c r="B1032" i="1"/>
  <c r="U1031" i="1"/>
  <c r="D1031" i="1"/>
  <c r="B1031" i="1"/>
  <c r="U1030" i="1"/>
  <c r="D1030" i="1"/>
  <c r="B1030" i="1"/>
  <c r="U1029" i="1"/>
  <c r="D1029" i="1"/>
  <c r="B1029" i="1"/>
  <c r="U1028" i="1"/>
  <c r="D1028" i="1"/>
  <c r="B1028" i="1"/>
  <c r="U1027" i="1"/>
  <c r="D1027" i="1"/>
  <c r="B1027" i="1"/>
  <c r="U1026" i="1"/>
  <c r="D1026" i="1"/>
  <c r="B1026" i="1"/>
  <c r="U1025" i="1"/>
  <c r="D1025" i="1"/>
  <c r="B1025" i="1"/>
  <c r="U1024" i="1"/>
  <c r="D1024" i="1"/>
  <c r="B1024" i="1"/>
  <c r="D1023" i="1"/>
  <c r="B1023" i="1"/>
  <c r="U1022" i="1"/>
  <c r="D1022" i="1"/>
  <c r="B1022" i="1"/>
  <c r="D1021" i="1"/>
  <c r="B1021" i="1"/>
  <c r="D1020" i="1"/>
  <c r="B1020" i="1"/>
  <c r="D1019" i="1"/>
  <c r="B1019" i="1"/>
  <c r="D1018" i="1"/>
  <c r="B1018" i="1"/>
  <c r="D1017" i="1"/>
  <c r="B1017" i="1"/>
  <c r="U1016" i="1"/>
  <c r="D1016" i="1"/>
  <c r="B1016" i="1"/>
  <c r="U1015" i="1"/>
  <c r="D1015" i="1"/>
  <c r="B1015" i="1"/>
  <c r="U1014" i="1"/>
  <c r="D1014" i="1"/>
  <c r="B1014" i="1"/>
  <c r="U1013" i="1"/>
  <c r="D1013" i="1"/>
  <c r="B1013" i="1"/>
  <c r="U1012" i="1"/>
  <c r="D1012" i="1"/>
  <c r="B1012" i="1"/>
  <c r="U1011" i="1"/>
  <c r="D1011" i="1"/>
  <c r="B1011" i="1"/>
  <c r="U1010" i="1"/>
  <c r="D1010" i="1"/>
  <c r="B1010" i="1"/>
  <c r="U1009" i="1"/>
  <c r="D1009" i="1"/>
  <c r="B1009" i="1"/>
  <c r="U1008" i="1"/>
  <c r="D1008" i="1"/>
  <c r="B1008" i="1"/>
  <c r="U1007" i="1"/>
  <c r="D1007" i="1"/>
  <c r="B1007" i="1"/>
  <c r="U1006" i="1"/>
  <c r="D1006" i="1"/>
  <c r="B1006" i="1"/>
  <c r="U1005" i="1"/>
  <c r="D1005" i="1"/>
  <c r="B1005" i="1"/>
  <c r="D1004" i="1"/>
  <c r="B1004" i="1"/>
  <c r="U1003" i="1"/>
  <c r="D1003" i="1"/>
  <c r="B1003" i="1"/>
  <c r="U1002" i="1"/>
  <c r="D1002" i="1"/>
  <c r="B1002" i="1"/>
  <c r="U1001" i="1"/>
  <c r="D1001" i="1"/>
  <c r="B1001" i="1"/>
  <c r="U1000" i="1"/>
  <c r="D1000" i="1"/>
  <c r="B1000" i="1"/>
  <c r="U999" i="1"/>
  <c r="D999" i="1"/>
  <c r="B999" i="1"/>
  <c r="U998" i="1"/>
  <c r="D998" i="1"/>
  <c r="B998" i="1"/>
  <c r="U997" i="1"/>
  <c r="D997" i="1"/>
  <c r="B997" i="1"/>
  <c r="U996" i="1"/>
  <c r="D996" i="1"/>
  <c r="B996" i="1"/>
  <c r="U995" i="1"/>
  <c r="D995" i="1"/>
  <c r="B995" i="1"/>
  <c r="U994" i="1"/>
  <c r="D994" i="1"/>
  <c r="B994" i="1"/>
  <c r="U993" i="1"/>
  <c r="D993" i="1"/>
  <c r="B993" i="1"/>
  <c r="U992" i="1"/>
  <c r="D992" i="1"/>
  <c r="B992" i="1"/>
  <c r="U991" i="1"/>
  <c r="D991" i="1"/>
  <c r="B991" i="1"/>
  <c r="U990" i="1"/>
  <c r="D990" i="1"/>
  <c r="B990" i="1"/>
  <c r="U989" i="1"/>
  <c r="D989" i="1"/>
  <c r="B989" i="1"/>
  <c r="U988" i="1"/>
  <c r="D988" i="1"/>
  <c r="B988" i="1"/>
  <c r="U987" i="1"/>
  <c r="D987" i="1"/>
  <c r="B987" i="1"/>
  <c r="U986" i="1"/>
  <c r="D986" i="1"/>
  <c r="B986" i="1"/>
  <c r="U985" i="1"/>
  <c r="D985" i="1"/>
  <c r="B985" i="1"/>
  <c r="U984" i="1"/>
  <c r="D984" i="1"/>
  <c r="B984" i="1"/>
  <c r="U983" i="1"/>
  <c r="D983" i="1"/>
  <c r="B983" i="1"/>
  <c r="U982" i="1"/>
  <c r="D982" i="1"/>
  <c r="B982" i="1"/>
  <c r="U981" i="1"/>
  <c r="D981" i="1"/>
  <c r="B981" i="1"/>
  <c r="U980" i="1"/>
  <c r="D980" i="1"/>
  <c r="B980" i="1"/>
  <c r="D979" i="1"/>
  <c r="B979" i="1"/>
  <c r="D978" i="1"/>
  <c r="B978" i="1"/>
  <c r="U977" i="1"/>
  <c r="D977" i="1"/>
  <c r="B977" i="1"/>
  <c r="U976" i="1"/>
  <c r="D976" i="1"/>
  <c r="B976" i="1"/>
  <c r="U975" i="1"/>
  <c r="D975" i="1"/>
  <c r="B975" i="1"/>
  <c r="U974" i="1"/>
  <c r="D974" i="1"/>
  <c r="B974" i="1"/>
  <c r="U973" i="1"/>
  <c r="D973" i="1"/>
  <c r="B973" i="1"/>
  <c r="U972" i="1"/>
  <c r="D972" i="1"/>
  <c r="B972" i="1"/>
  <c r="U971" i="1"/>
  <c r="D971" i="1"/>
  <c r="B971" i="1"/>
  <c r="U970" i="1"/>
  <c r="D970" i="1"/>
  <c r="B970" i="1"/>
  <c r="U969" i="1"/>
  <c r="D969" i="1"/>
  <c r="B969" i="1"/>
  <c r="U968" i="1"/>
  <c r="D968" i="1"/>
  <c r="B968" i="1"/>
  <c r="U967" i="1"/>
  <c r="D967" i="1"/>
  <c r="B967" i="1"/>
  <c r="U966" i="1"/>
  <c r="D966" i="1"/>
  <c r="B966" i="1"/>
  <c r="U965" i="1"/>
  <c r="D965" i="1"/>
  <c r="B965" i="1"/>
  <c r="U964" i="1"/>
  <c r="D964" i="1"/>
  <c r="B964" i="1"/>
  <c r="U963" i="1"/>
  <c r="D963" i="1"/>
  <c r="B963" i="1"/>
  <c r="U962" i="1"/>
  <c r="D962" i="1"/>
  <c r="B962" i="1"/>
  <c r="U961" i="1"/>
  <c r="D961" i="1"/>
  <c r="B961" i="1"/>
  <c r="U960" i="1"/>
  <c r="D960" i="1"/>
  <c r="B960" i="1"/>
  <c r="U959" i="1"/>
  <c r="D959" i="1"/>
  <c r="B959" i="1"/>
  <c r="U958" i="1"/>
  <c r="D958" i="1"/>
  <c r="B958" i="1"/>
  <c r="U957" i="1"/>
  <c r="D957" i="1"/>
  <c r="B957" i="1"/>
  <c r="U956" i="1"/>
  <c r="D956" i="1"/>
  <c r="B956" i="1"/>
  <c r="U955" i="1"/>
  <c r="D955" i="1"/>
  <c r="B955" i="1"/>
  <c r="U954" i="1"/>
  <c r="D954" i="1"/>
  <c r="B954" i="1"/>
  <c r="U953" i="1"/>
  <c r="D953" i="1"/>
  <c r="B953" i="1"/>
  <c r="U952" i="1"/>
  <c r="D952" i="1"/>
  <c r="B952" i="1"/>
  <c r="U951" i="1"/>
  <c r="D951" i="1"/>
  <c r="B951" i="1"/>
  <c r="U950" i="1"/>
  <c r="D950" i="1"/>
  <c r="B950" i="1"/>
  <c r="U949" i="1"/>
  <c r="D949" i="1"/>
  <c r="B949" i="1"/>
  <c r="U948" i="1"/>
  <c r="D948" i="1"/>
  <c r="B948" i="1"/>
  <c r="U947" i="1"/>
  <c r="D947" i="1"/>
  <c r="B947" i="1"/>
  <c r="U946" i="1"/>
  <c r="D946" i="1"/>
  <c r="B946" i="1"/>
  <c r="N945" i="1"/>
  <c r="U945" i="1" s="1"/>
  <c r="D945" i="1"/>
  <c r="B945" i="1"/>
  <c r="N944" i="1"/>
  <c r="U944" i="1" s="1"/>
  <c r="D944" i="1"/>
  <c r="B944" i="1"/>
  <c r="U943" i="1"/>
  <c r="D943" i="1"/>
  <c r="B943" i="1"/>
  <c r="U942" i="1"/>
  <c r="D942" i="1"/>
  <c r="B942" i="1"/>
  <c r="U941" i="1"/>
  <c r="D941" i="1"/>
  <c r="B941" i="1"/>
  <c r="U940" i="1"/>
  <c r="D940" i="1"/>
  <c r="B940" i="1"/>
  <c r="U939" i="1"/>
  <c r="D939" i="1"/>
  <c r="B939" i="1"/>
  <c r="D938" i="1"/>
  <c r="B938" i="1"/>
  <c r="U937" i="1"/>
  <c r="D937" i="1"/>
  <c r="B937" i="1"/>
  <c r="U936" i="1"/>
  <c r="D936" i="1"/>
  <c r="B936" i="1"/>
  <c r="U935" i="1"/>
  <c r="D935" i="1"/>
  <c r="B935" i="1"/>
  <c r="U934" i="1"/>
  <c r="D934" i="1"/>
  <c r="B934" i="1"/>
  <c r="U933" i="1"/>
  <c r="D933" i="1"/>
  <c r="B933" i="1"/>
  <c r="U932" i="1"/>
  <c r="D932" i="1"/>
  <c r="B932" i="1"/>
  <c r="N931" i="1"/>
  <c r="U931" i="1" s="1"/>
  <c r="D931" i="1"/>
  <c r="B931" i="1"/>
  <c r="N930" i="1"/>
  <c r="U930" i="1" s="1"/>
  <c r="D930" i="1"/>
  <c r="B930" i="1"/>
  <c r="N929" i="1"/>
  <c r="U929" i="1" s="1"/>
  <c r="D929" i="1"/>
  <c r="B929" i="1"/>
  <c r="N928" i="1"/>
  <c r="U928" i="1" s="1"/>
  <c r="D928" i="1"/>
  <c r="B928" i="1"/>
  <c r="U927" i="1"/>
  <c r="D927" i="1"/>
  <c r="B927" i="1"/>
  <c r="U926" i="1"/>
  <c r="D926" i="1"/>
  <c r="B926" i="1"/>
  <c r="U925" i="1"/>
  <c r="D925" i="1"/>
  <c r="B925" i="1"/>
  <c r="U924" i="1"/>
  <c r="D924" i="1"/>
  <c r="B924" i="1"/>
  <c r="U923" i="1"/>
  <c r="D923" i="1"/>
  <c r="B923" i="1"/>
  <c r="U922" i="1"/>
  <c r="D922" i="1"/>
  <c r="B922" i="1"/>
  <c r="U921" i="1"/>
  <c r="D921" i="1"/>
  <c r="B921" i="1"/>
  <c r="U920" i="1"/>
  <c r="D920" i="1"/>
  <c r="B920" i="1"/>
  <c r="U919" i="1"/>
  <c r="D919" i="1"/>
  <c r="B919" i="1"/>
  <c r="U918" i="1"/>
  <c r="D918" i="1"/>
  <c r="B918" i="1"/>
  <c r="U917" i="1"/>
  <c r="D917" i="1"/>
  <c r="B917" i="1"/>
  <c r="U916" i="1"/>
  <c r="D916" i="1"/>
  <c r="B916" i="1"/>
  <c r="N915" i="1"/>
  <c r="U915" i="1" s="1"/>
  <c r="D915" i="1"/>
  <c r="B915" i="1"/>
  <c r="N914" i="1"/>
  <c r="U914" i="1" s="1"/>
  <c r="D914" i="1"/>
  <c r="B914" i="1"/>
  <c r="N913" i="1"/>
  <c r="U913" i="1" s="1"/>
  <c r="D913" i="1"/>
  <c r="B913" i="1"/>
  <c r="U912" i="1"/>
  <c r="D912" i="1"/>
  <c r="B912" i="1"/>
  <c r="U911" i="1"/>
  <c r="D911" i="1"/>
  <c r="B911" i="1"/>
  <c r="U910" i="1"/>
  <c r="D910" i="1"/>
  <c r="B910" i="1"/>
  <c r="U909" i="1"/>
  <c r="D909" i="1"/>
  <c r="B909" i="1"/>
  <c r="U908" i="1"/>
  <c r="D908" i="1"/>
  <c r="B908" i="1"/>
  <c r="N907" i="1"/>
  <c r="U907" i="1" s="1"/>
  <c r="D907" i="1"/>
  <c r="B907" i="1"/>
  <c r="U906" i="1"/>
  <c r="D906" i="1"/>
  <c r="B906" i="1"/>
  <c r="U905" i="1"/>
  <c r="D905" i="1"/>
  <c r="B905" i="1"/>
  <c r="U904" i="1"/>
  <c r="D904" i="1"/>
  <c r="B904" i="1"/>
  <c r="U903" i="1"/>
  <c r="D903" i="1"/>
  <c r="B903" i="1"/>
  <c r="U902" i="1"/>
  <c r="D902" i="1"/>
  <c r="B902" i="1"/>
  <c r="U901" i="1"/>
  <c r="D901" i="1"/>
  <c r="B901" i="1"/>
  <c r="U900" i="1"/>
  <c r="D900" i="1"/>
  <c r="B900" i="1"/>
  <c r="U899" i="1"/>
  <c r="N899" i="1"/>
  <c r="D899" i="1"/>
  <c r="B899" i="1"/>
  <c r="N898" i="1"/>
  <c r="U898" i="1" s="1"/>
  <c r="D898" i="1"/>
  <c r="B898" i="1"/>
  <c r="U897" i="1"/>
  <c r="D897" i="1"/>
  <c r="B897" i="1"/>
  <c r="U896" i="1"/>
  <c r="D896" i="1"/>
  <c r="B896" i="1"/>
  <c r="U895" i="1"/>
  <c r="D895" i="1"/>
  <c r="B895" i="1"/>
  <c r="U894" i="1"/>
  <c r="D894" i="1"/>
  <c r="B894" i="1"/>
  <c r="U893" i="1"/>
  <c r="D893" i="1"/>
  <c r="B893" i="1"/>
  <c r="N892" i="1"/>
  <c r="U892" i="1" s="1"/>
  <c r="D892" i="1"/>
  <c r="B892" i="1"/>
  <c r="N891" i="1"/>
  <c r="U891" i="1" s="1"/>
  <c r="D891" i="1"/>
  <c r="B891" i="1"/>
  <c r="N890" i="1"/>
  <c r="U890" i="1" s="1"/>
  <c r="D890" i="1"/>
  <c r="B890" i="1"/>
  <c r="N889" i="1"/>
  <c r="U889" i="1" s="1"/>
  <c r="D889" i="1"/>
  <c r="B889" i="1"/>
  <c r="N888" i="1"/>
  <c r="U888" i="1" s="1"/>
  <c r="D888" i="1"/>
  <c r="B888" i="1"/>
  <c r="U887" i="1"/>
  <c r="D887" i="1"/>
  <c r="B887" i="1"/>
  <c r="N886" i="1"/>
  <c r="U886" i="1" s="1"/>
  <c r="D886" i="1"/>
  <c r="B886" i="1"/>
  <c r="U885" i="1"/>
  <c r="D885" i="1"/>
  <c r="B885" i="1"/>
  <c r="N884" i="1"/>
  <c r="U884" i="1" s="1"/>
  <c r="D884" i="1"/>
  <c r="B884" i="1"/>
  <c r="N883" i="1"/>
  <c r="U883" i="1" s="1"/>
  <c r="D883" i="1"/>
  <c r="B883" i="1"/>
  <c r="N882" i="1"/>
  <c r="U882" i="1" s="1"/>
  <c r="D882" i="1"/>
  <c r="B882" i="1"/>
  <c r="N881" i="1"/>
  <c r="U881" i="1" s="1"/>
  <c r="D881" i="1"/>
  <c r="B881" i="1"/>
  <c r="N880" i="1"/>
  <c r="U880" i="1" s="1"/>
  <c r="D880" i="1"/>
  <c r="B880" i="1"/>
  <c r="N879" i="1"/>
  <c r="U879" i="1" s="1"/>
  <c r="D879" i="1"/>
  <c r="B879" i="1"/>
  <c r="N878" i="1"/>
  <c r="U878" i="1" s="1"/>
  <c r="D878" i="1"/>
  <c r="B878" i="1"/>
  <c r="N877" i="1"/>
  <c r="U877" i="1" s="1"/>
  <c r="D877" i="1"/>
  <c r="B877" i="1"/>
  <c r="N876" i="1"/>
  <c r="U876" i="1" s="1"/>
  <c r="D876" i="1"/>
  <c r="B876" i="1"/>
  <c r="N875" i="1"/>
  <c r="U875" i="1" s="1"/>
  <c r="D875" i="1"/>
  <c r="B875" i="1"/>
  <c r="U874" i="1"/>
  <c r="D874" i="1"/>
  <c r="B874" i="1"/>
  <c r="U873" i="1"/>
  <c r="D873" i="1"/>
  <c r="B873" i="1"/>
  <c r="N872" i="1"/>
  <c r="U872" i="1" s="1"/>
  <c r="D872" i="1"/>
  <c r="B872" i="1"/>
  <c r="N871" i="1"/>
  <c r="U871" i="1" s="1"/>
  <c r="D871" i="1"/>
  <c r="B871" i="1"/>
  <c r="N870" i="1"/>
  <c r="U870" i="1" s="1"/>
  <c r="D870" i="1"/>
  <c r="B870" i="1"/>
  <c r="N869" i="1"/>
  <c r="U869" i="1" s="1"/>
  <c r="D869" i="1"/>
  <c r="B869" i="1"/>
  <c r="N868" i="1"/>
  <c r="U868" i="1" s="1"/>
  <c r="D868" i="1"/>
  <c r="B868" i="1"/>
  <c r="N867" i="1"/>
  <c r="U867" i="1" s="1"/>
  <c r="D867" i="1"/>
  <c r="B867" i="1"/>
  <c r="N866" i="1"/>
  <c r="U866" i="1" s="1"/>
  <c r="D866" i="1"/>
  <c r="B866" i="1"/>
  <c r="N865" i="1"/>
  <c r="U865" i="1" s="1"/>
  <c r="D865" i="1"/>
  <c r="B865" i="1"/>
  <c r="N864" i="1"/>
  <c r="U864" i="1" s="1"/>
  <c r="D864" i="1"/>
  <c r="B864" i="1"/>
  <c r="N863" i="1"/>
  <c r="U863" i="1" s="1"/>
  <c r="D863" i="1"/>
  <c r="B863" i="1"/>
  <c r="N862" i="1"/>
  <c r="U862" i="1" s="1"/>
  <c r="D862" i="1"/>
  <c r="B862" i="1"/>
  <c r="N861" i="1"/>
  <c r="U861" i="1" s="1"/>
  <c r="D861" i="1"/>
  <c r="B861" i="1"/>
  <c r="U860" i="1"/>
  <c r="D860" i="1"/>
  <c r="B860" i="1"/>
  <c r="U859" i="1"/>
  <c r="D859" i="1"/>
  <c r="B859" i="1"/>
  <c r="U858" i="1"/>
  <c r="D858" i="1"/>
  <c r="B858" i="1"/>
  <c r="U857" i="1"/>
  <c r="D857" i="1"/>
  <c r="B857" i="1"/>
  <c r="U856" i="1"/>
  <c r="D856" i="1"/>
  <c r="B856" i="1"/>
  <c r="U855" i="1"/>
  <c r="D855" i="1"/>
  <c r="B855" i="1"/>
  <c r="U854" i="1"/>
  <c r="D854" i="1"/>
  <c r="B854" i="1"/>
  <c r="N853" i="1"/>
  <c r="U853" i="1" s="1"/>
  <c r="D853" i="1"/>
  <c r="B853" i="1"/>
  <c r="U852" i="1"/>
  <c r="D852" i="1"/>
  <c r="B852" i="1"/>
  <c r="N851" i="1"/>
  <c r="U851" i="1" s="1"/>
  <c r="D851" i="1"/>
  <c r="B851" i="1"/>
  <c r="N850" i="1"/>
  <c r="U850" i="1" s="1"/>
  <c r="D850" i="1"/>
  <c r="B850" i="1"/>
  <c r="N849" i="1"/>
  <c r="U849" i="1" s="1"/>
  <c r="D849" i="1"/>
  <c r="B849" i="1"/>
  <c r="N848" i="1"/>
  <c r="U848" i="1" s="1"/>
  <c r="D848" i="1"/>
  <c r="B848" i="1"/>
  <c r="N847" i="1"/>
  <c r="U847" i="1" s="1"/>
  <c r="D847" i="1"/>
  <c r="B847" i="1"/>
  <c r="N846" i="1"/>
  <c r="U846" i="1" s="1"/>
  <c r="D846" i="1"/>
  <c r="B846" i="1"/>
  <c r="N845" i="1"/>
  <c r="U845" i="1" s="1"/>
  <c r="D845" i="1"/>
  <c r="B845" i="1"/>
  <c r="N844" i="1"/>
  <c r="U844" i="1" s="1"/>
  <c r="D844" i="1"/>
  <c r="B844" i="1"/>
  <c r="N843" i="1"/>
  <c r="U843" i="1" s="1"/>
  <c r="D843" i="1"/>
  <c r="B843" i="1"/>
  <c r="N842" i="1"/>
  <c r="U842" i="1" s="1"/>
  <c r="D842" i="1"/>
  <c r="B842" i="1"/>
  <c r="N841" i="1"/>
  <c r="U841" i="1" s="1"/>
  <c r="D841" i="1"/>
  <c r="B841" i="1"/>
  <c r="N840" i="1"/>
  <c r="U840" i="1" s="1"/>
  <c r="D840" i="1"/>
  <c r="B840" i="1"/>
  <c r="U839" i="1"/>
  <c r="D839" i="1"/>
  <c r="B839" i="1"/>
  <c r="U838" i="1"/>
  <c r="N838" i="1"/>
  <c r="D838" i="1"/>
  <c r="B838" i="1"/>
  <c r="U837" i="1"/>
  <c r="N837" i="1"/>
  <c r="D837" i="1"/>
  <c r="B837" i="1"/>
  <c r="U836" i="1"/>
  <c r="N836" i="1"/>
  <c r="D836" i="1"/>
  <c r="B836" i="1"/>
  <c r="U835" i="1"/>
  <c r="N835" i="1"/>
  <c r="D835" i="1"/>
  <c r="B835" i="1"/>
  <c r="U834" i="1"/>
  <c r="N834" i="1"/>
  <c r="D834" i="1"/>
  <c r="B834" i="1"/>
  <c r="U833" i="1"/>
  <c r="N833" i="1"/>
  <c r="D833" i="1"/>
  <c r="B833" i="1"/>
  <c r="U832" i="1"/>
  <c r="N832" i="1"/>
  <c r="D832" i="1"/>
  <c r="B832" i="1"/>
  <c r="U831" i="1"/>
  <c r="N831" i="1"/>
  <c r="D831" i="1"/>
  <c r="B831" i="1"/>
  <c r="U830" i="1"/>
  <c r="D830" i="1"/>
  <c r="B830" i="1"/>
  <c r="N829" i="1"/>
  <c r="U829" i="1" s="1"/>
  <c r="D829" i="1"/>
  <c r="B829" i="1"/>
  <c r="N828" i="1"/>
  <c r="U828" i="1" s="1"/>
  <c r="D828" i="1"/>
  <c r="B828" i="1"/>
  <c r="N827" i="1"/>
  <c r="U827" i="1" s="1"/>
  <c r="D827" i="1"/>
  <c r="B827" i="1"/>
  <c r="N826" i="1"/>
  <c r="U826" i="1" s="1"/>
  <c r="D826" i="1"/>
  <c r="B826" i="1"/>
  <c r="N825" i="1"/>
  <c r="U825" i="1" s="1"/>
  <c r="D825" i="1"/>
  <c r="B825" i="1"/>
  <c r="N824" i="1"/>
  <c r="U824" i="1" s="1"/>
  <c r="D824" i="1"/>
  <c r="B824" i="1"/>
  <c r="N823" i="1"/>
  <c r="U823" i="1" s="1"/>
  <c r="D823" i="1"/>
  <c r="B823" i="1"/>
  <c r="N822" i="1"/>
  <c r="U822" i="1" s="1"/>
  <c r="D822" i="1"/>
  <c r="B822" i="1"/>
  <c r="N821" i="1"/>
  <c r="U821" i="1" s="1"/>
  <c r="D821" i="1"/>
  <c r="B821" i="1"/>
  <c r="N820" i="1"/>
  <c r="U820" i="1" s="1"/>
  <c r="D820" i="1"/>
  <c r="B820" i="1"/>
  <c r="N819" i="1"/>
  <c r="U819" i="1" s="1"/>
  <c r="D819" i="1"/>
  <c r="B819" i="1"/>
  <c r="N818" i="1"/>
  <c r="U818" i="1" s="1"/>
  <c r="D818" i="1"/>
  <c r="B818" i="1"/>
  <c r="N817" i="1"/>
  <c r="U817" i="1" s="1"/>
  <c r="D817" i="1"/>
  <c r="B817" i="1"/>
  <c r="N816" i="1"/>
  <c r="U816" i="1" s="1"/>
  <c r="D816" i="1"/>
  <c r="B816" i="1"/>
  <c r="N815" i="1"/>
  <c r="U815" i="1" s="1"/>
  <c r="D815" i="1"/>
  <c r="B815" i="1"/>
  <c r="N814" i="1"/>
  <c r="U814" i="1" s="1"/>
  <c r="D814" i="1"/>
  <c r="B814" i="1"/>
  <c r="N813" i="1"/>
  <c r="U813" i="1" s="1"/>
  <c r="D813" i="1"/>
  <c r="B813" i="1"/>
  <c r="N812" i="1"/>
  <c r="U812" i="1" s="1"/>
  <c r="D812" i="1"/>
  <c r="B812" i="1"/>
  <c r="N811" i="1"/>
  <c r="U811" i="1" s="1"/>
  <c r="D811" i="1"/>
  <c r="B811" i="1"/>
  <c r="N810" i="1"/>
  <c r="U810" i="1" s="1"/>
  <c r="D810" i="1"/>
  <c r="B810" i="1"/>
  <c r="N809" i="1"/>
  <c r="U809" i="1" s="1"/>
  <c r="D809" i="1"/>
  <c r="B809" i="1"/>
  <c r="N808" i="1"/>
  <c r="U808" i="1" s="1"/>
  <c r="D808" i="1"/>
  <c r="B808" i="1"/>
  <c r="N807" i="1"/>
  <c r="U807" i="1" s="1"/>
  <c r="D807" i="1"/>
  <c r="B807" i="1"/>
  <c r="N806" i="1"/>
  <c r="U806" i="1" s="1"/>
  <c r="D806" i="1"/>
  <c r="B806" i="1"/>
  <c r="N805" i="1"/>
  <c r="U805" i="1" s="1"/>
  <c r="D805" i="1"/>
  <c r="B805" i="1"/>
  <c r="N804" i="1"/>
  <c r="U804" i="1" s="1"/>
  <c r="D804" i="1"/>
  <c r="B804" i="1"/>
  <c r="N803" i="1"/>
  <c r="U803" i="1" s="1"/>
  <c r="D803" i="1"/>
  <c r="B803" i="1"/>
  <c r="N802" i="1"/>
  <c r="U802" i="1" s="1"/>
  <c r="D802" i="1"/>
  <c r="B802" i="1"/>
  <c r="N801" i="1"/>
  <c r="U801" i="1" s="1"/>
  <c r="D801" i="1"/>
  <c r="B801" i="1"/>
  <c r="N800" i="1"/>
  <c r="U800" i="1" s="1"/>
  <c r="D800" i="1"/>
  <c r="B800" i="1"/>
  <c r="N799" i="1"/>
  <c r="U799" i="1" s="1"/>
  <c r="D799" i="1"/>
  <c r="B799" i="1"/>
  <c r="U798" i="1"/>
  <c r="D798" i="1"/>
  <c r="B798" i="1"/>
  <c r="U797" i="1"/>
  <c r="D797" i="1"/>
  <c r="B797" i="1"/>
  <c r="U796" i="1"/>
  <c r="D796" i="1"/>
  <c r="B796" i="1"/>
  <c r="U795" i="1"/>
  <c r="D795" i="1"/>
  <c r="B795" i="1"/>
  <c r="N794" i="1"/>
  <c r="U794" i="1" s="1"/>
  <c r="D794" i="1"/>
  <c r="B794" i="1"/>
  <c r="N793" i="1"/>
  <c r="U793" i="1" s="1"/>
  <c r="D793" i="1"/>
  <c r="B793" i="1"/>
  <c r="N792" i="1"/>
  <c r="U792" i="1" s="1"/>
  <c r="D792" i="1"/>
  <c r="B792" i="1"/>
  <c r="N791" i="1"/>
  <c r="U791" i="1" s="1"/>
  <c r="D791" i="1"/>
  <c r="B791" i="1"/>
  <c r="N790" i="1"/>
  <c r="U790" i="1" s="1"/>
  <c r="D790" i="1"/>
  <c r="B790" i="1"/>
  <c r="N789" i="1"/>
  <c r="U789" i="1" s="1"/>
  <c r="D789" i="1"/>
  <c r="B789" i="1"/>
  <c r="N788" i="1"/>
  <c r="U788" i="1" s="1"/>
  <c r="D788" i="1"/>
  <c r="B788" i="1"/>
  <c r="N787" i="1"/>
  <c r="U787" i="1" s="1"/>
  <c r="D787" i="1"/>
  <c r="B787" i="1"/>
  <c r="N786" i="1"/>
  <c r="U786" i="1" s="1"/>
  <c r="D786" i="1"/>
  <c r="B786" i="1"/>
  <c r="N785" i="1"/>
  <c r="U785" i="1" s="1"/>
  <c r="D785" i="1"/>
  <c r="B785" i="1"/>
  <c r="U784" i="1"/>
  <c r="D784" i="1"/>
  <c r="B784" i="1"/>
  <c r="N783" i="1"/>
  <c r="U783" i="1" s="1"/>
  <c r="D783" i="1"/>
  <c r="B783" i="1"/>
  <c r="U782" i="1"/>
  <c r="N782" i="1"/>
  <c r="D782" i="1"/>
  <c r="B782" i="1"/>
  <c r="N781" i="1"/>
  <c r="U781" i="1" s="1"/>
  <c r="D781" i="1"/>
  <c r="B781" i="1"/>
  <c r="U780" i="1"/>
  <c r="N780" i="1"/>
  <c r="D780" i="1"/>
  <c r="B780" i="1"/>
  <c r="N779" i="1"/>
  <c r="U779" i="1" s="1"/>
  <c r="D779" i="1"/>
  <c r="B779" i="1"/>
  <c r="U778" i="1"/>
  <c r="N778" i="1"/>
  <c r="D778" i="1"/>
  <c r="B778" i="1"/>
  <c r="N777" i="1"/>
  <c r="U777" i="1" s="1"/>
  <c r="D777" i="1"/>
  <c r="B777" i="1"/>
  <c r="U776" i="1"/>
  <c r="N776" i="1"/>
  <c r="D776" i="1"/>
  <c r="B776" i="1"/>
  <c r="N775" i="1"/>
  <c r="U775" i="1" s="1"/>
  <c r="D775" i="1"/>
  <c r="B775" i="1"/>
  <c r="U774" i="1"/>
  <c r="N774" i="1"/>
  <c r="D774" i="1"/>
  <c r="B774" i="1"/>
  <c r="N773" i="1"/>
  <c r="U773" i="1" s="1"/>
  <c r="D773" i="1"/>
  <c r="B773" i="1"/>
  <c r="U772" i="1"/>
  <c r="N772" i="1"/>
  <c r="D772" i="1"/>
  <c r="B772" i="1"/>
  <c r="N771" i="1"/>
  <c r="U771" i="1" s="1"/>
  <c r="D771" i="1"/>
  <c r="B771" i="1"/>
  <c r="U770" i="1"/>
  <c r="N770" i="1"/>
  <c r="D770" i="1"/>
  <c r="B770" i="1"/>
  <c r="N769" i="1"/>
  <c r="U769" i="1" s="1"/>
  <c r="D769" i="1"/>
  <c r="B769" i="1"/>
  <c r="U768" i="1"/>
  <c r="N768" i="1"/>
  <c r="D768" i="1"/>
  <c r="B768" i="1"/>
  <c r="N767" i="1"/>
  <c r="U767" i="1" s="1"/>
  <c r="D767" i="1"/>
  <c r="B767" i="1"/>
  <c r="U766" i="1"/>
  <c r="N766" i="1"/>
  <c r="D766" i="1"/>
  <c r="B766" i="1"/>
  <c r="N765" i="1"/>
  <c r="U765" i="1" s="1"/>
  <c r="D765" i="1"/>
  <c r="B765" i="1"/>
  <c r="U764" i="1"/>
  <c r="D764" i="1"/>
  <c r="B764" i="1"/>
  <c r="N763" i="1"/>
  <c r="U763" i="1" s="1"/>
  <c r="D763" i="1"/>
  <c r="B763" i="1"/>
  <c r="N762" i="1"/>
  <c r="U762" i="1" s="1"/>
  <c r="D762" i="1"/>
  <c r="B762" i="1"/>
  <c r="N761" i="1"/>
  <c r="U761" i="1" s="1"/>
  <c r="D761" i="1"/>
  <c r="B761" i="1"/>
  <c r="N760" i="1"/>
  <c r="U760" i="1" s="1"/>
  <c r="D760" i="1"/>
  <c r="B760" i="1"/>
  <c r="N759" i="1"/>
  <c r="U759" i="1" s="1"/>
  <c r="D759" i="1"/>
  <c r="B759" i="1"/>
  <c r="N758" i="1"/>
  <c r="U758" i="1" s="1"/>
  <c r="D758" i="1"/>
  <c r="B758" i="1"/>
  <c r="N757" i="1"/>
  <c r="U757" i="1" s="1"/>
  <c r="D757" i="1"/>
  <c r="B757" i="1"/>
  <c r="N756" i="1"/>
  <c r="U756" i="1" s="1"/>
  <c r="D756" i="1"/>
  <c r="B756" i="1"/>
  <c r="N755" i="1"/>
  <c r="U755" i="1" s="1"/>
  <c r="D755" i="1"/>
  <c r="B755" i="1"/>
  <c r="N754" i="1"/>
  <c r="U754" i="1" s="1"/>
  <c r="D754" i="1"/>
  <c r="B754" i="1"/>
  <c r="N753" i="1"/>
  <c r="U753" i="1" s="1"/>
  <c r="D753" i="1"/>
  <c r="B753" i="1"/>
  <c r="N752" i="1"/>
  <c r="U752" i="1" s="1"/>
  <c r="D752" i="1"/>
  <c r="B752" i="1"/>
  <c r="N751" i="1"/>
  <c r="U751" i="1" s="1"/>
  <c r="D751" i="1"/>
  <c r="B751" i="1"/>
  <c r="N750" i="1"/>
  <c r="U750" i="1" s="1"/>
  <c r="D750" i="1"/>
  <c r="B750" i="1"/>
  <c r="N749" i="1"/>
  <c r="U749" i="1" s="1"/>
  <c r="D749" i="1"/>
  <c r="B749" i="1"/>
  <c r="N748" i="1"/>
  <c r="U748" i="1" s="1"/>
  <c r="D748" i="1"/>
  <c r="B748" i="1"/>
  <c r="N747" i="1"/>
  <c r="U747" i="1" s="1"/>
  <c r="D747" i="1"/>
  <c r="B747" i="1"/>
  <c r="N746" i="1"/>
  <c r="U746" i="1" s="1"/>
  <c r="D746" i="1"/>
  <c r="B746" i="1"/>
  <c r="N745" i="1"/>
  <c r="U745" i="1" s="1"/>
  <c r="D745" i="1"/>
  <c r="B745" i="1"/>
  <c r="N744" i="1"/>
  <c r="U744" i="1" s="1"/>
  <c r="D744" i="1"/>
  <c r="B744" i="1"/>
  <c r="N743" i="1"/>
  <c r="U743" i="1" s="1"/>
  <c r="D743" i="1"/>
  <c r="B743" i="1"/>
  <c r="N742" i="1"/>
  <c r="U742" i="1" s="1"/>
  <c r="D742" i="1"/>
  <c r="B742" i="1"/>
  <c r="N741" i="1"/>
  <c r="U741" i="1" s="1"/>
  <c r="D741" i="1"/>
  <c r="B741" i="1"/>
  <c r="N740" i="1"/>
  <c r="U740" i="1" s="1"/>
  <c r="D740" i="1"/>
  <c r="B740" i="1"/>
  <c r="N739" i="1"/>
  <c r="U739" i="1" s="1"/>
  <c r="D739" i="1"/>
  <c r="B739" i="1"/>
  <c r="N738" i="1"/>
  <c r="U738" i="1" s="1"/>
  <c r="D738" i="1"/>
  <c r="B738" i="1"/>
  <c r="U737" i="1"/>
  <c r="D737" i="1"/>
  <c r="B737" i="1"/>
  <c r="N736" i="1"/>
  <c r="U736" i="1" s="1"/>
  <c r="D736" i="1"/>
  <c r="B736" i="1"/>
  <c r="U735" i="1"/>
  <c r="N735" i="1"/>
  <c r="D735" i="1"/>
  <c r="B735" i="1"/>
  <c r="N734" i="1"/>
  <c r="U734" i="1" s="1"/>
  <c r="D734" i="1"/>
  <c r="B734" i="1"/>
  <c r="U733" i="1"/>
  <c r="N733" i="1"/>
  <c r="D733" i="1"/>
  <c r="B733" i="1"/>
  <c r="N732" i="1"/>
  <c r="U732" i="1" s="1"/>
  <c r="D732" i="1"/>
  <c r="B732" i="1"/>
  <c r="U731" i="1"/>
  <c r="N731" i="1"/>
  <c r="D731" i="1"/>
  <c r="B731" i="1"/>
  <c r="N730" i="1"/>
  <c r="U730" i="1" s="1"/>
  <c r="D730" i="1"/>
  <c r="B730" i="1"/>
  <c r="U729" i="1"/>
  <c r="N729" i="1"/>
  <c r="D729" i="1"/>
  <c r="B729" i="1"/>
  <c r="N728" i="1"/>
  <c r="U728" i="1" s="1"/>
  <c r="D728" i="1"/>
  <c r="B728" i="1"/>
  <c r="U727" i="1"/>
  <c r="N727" i="1"/>
  <c r="D727" i="1"/>
  <c r="B727" i="1"/>
  <c r="N726" i="1"/>
  <c r="U726" i="1" s="1"/>
  <c r="D726" i="1"/>
  <c r="B726" i="1"/>
  <c r="U725" i="1"/>
  <c r="N725" i="1"/>
  <c r="D725" i="1"/>
  <c r="B725" i="1"/>
  <c r="N724" i="1"/>
  <c r="U724" i="1" s="1"/>
  <c r="D724" i="1"/>
  <c r="B724" i="1"/>
  <c r="U723" i="1"/>
  <c r="N723" i="1"/>
  <c r="D723" i="1"/>
  <c r="B723" i="1"/>
  <c r="N722" i="1"/>
  <c r="U722" i="1" s="1"/>
  <c r="D722" i="1"/>
  <c r="B722" i="1"/>
  <c r="U721" i="1"/>
  <c r="D721" i="1"/>
  <c r="B721" i="1"/>
  <c r="N720" i="1"/>
  <c r="U720" i="1" s="1"/>
  <c r="D720" i="1"/>
  <c r="B720" i="1"/>
  <c r="N719" i="1"/>
  <c r="U719" i="1" s="1"/>
  <c r="D719" i="1"/>
  <c r="B719" i="1"/>
  <c r="N718" i="1"/>
  <c r="U718" i="1" s="1"/>
  <c r="D718" i="1"/>
  <c r="B718" i="1"/>
  <c r="N717" i="1"/>
  <c r="U717" i="1" s="1"/>
  <c r="D717" i="1"/>
  <c r="B717" i="1"/>
  <c r="N716" i="1"/>
  <c r="U716" i="1" s="1"/>
  <c r="D716" i="1"/>
  <c r="B716" i="1"/>
  <c r="N715" i="1"/>
  <c r="U715" i="1" s="1"/>
  <c r="D715" i="1"/>
  <c r="B715" i="1"/>
  <c r="U714" i="1"/>
  <c r="D714" i="1"/>
  <c r="B714" i="1"/>
  <c r="U713" i="1"/>
  <c r="D713" i="1"/>
  <c r="B713" i="1"/>
  <c r="U712" i="1"/>
  <c r="D712" i="1"/>
  <c r="B712" i="1"/>
  <c r="U711" i="1"/>
  <c r="D711" i="1"/>
  <c r="B711" i="1"/>
  <c r="U710" i="1"/>
  <c r="D710" i="1"/>
  <c r="B710" i="1"/>
  <c r="U709" i="1"/>
  <c r="D709" i="1"/>
  <c r="B709" i="1"/>
  <c r="U708" i="1"/>
  <c r="D708" i="1"/>
  <c r="B708" i="1"/>
  <c r="U707" i="1"/>
  <c r="D707" i="1"/>
  <c r="B707" i="1"/>
  <c r="U706" i="1"/>
  <c r="D706" i="1"/>
  <c r="B706" i="1"/>
  <c r="U705" i="1"/>
  <c r="D705" i="1"/>
  <c r="B705" i="1"/>
  <c r="U704" i="1"/>
  <c r="D704" i="1"/>
  <c r="B704" i="1"/>
  <c r="U703" i="1"/>
  <c r="D703" i="1"/>
  <c r="B703" i="1"/>
  <c r="U702" i="1"/>
  <c r="D702" i="1"/>
  <c r="B702" i="1"/>
  <c r="U701" i="1"/>
  <c r="D701" i="1"/>
  <c r="B701" i="1"/>
  <c r="U700" i="1"/>
  <c r="D700" i="1"/>
  <c r="B700" i="1"/>
  <c r="N699" i="1"/>
  <c r="U699" i="1" s="1"/>
  <c r="D699" i="1"/>
  <c r="B699" i="1"/>
  <c r="N698" i="1"/>
  <c r="U698" i="1" s="1"/>
  <c r="D698" i="1"/>
  <c r="B698" i="1"/>
  <c r="N697" i="1"/>
  <c r="U697" i="1" s="1"/>
  <c r="D697" i="1"/>
  <c r="B697" i="1"/>
  <c r="N696" i="1"/>
  <c r="U696" i="1" s="1"/>
  <c r="D696" i="1"/>
  <c r="B696" i="1"/>
  <c r="N695" i="1"/>
  <c r="U695" i="1" s="1"/>
  <c r="D695" i="1"/>
  <c r="B695" i="1"/>
  <c r="N694" i="1"/>
  <c r="U694" i="1" s="1"/>
  <c r="D694" i="1"/>
  <c r="B694" i="1"/>
  <c r="N693" i="1"/>
  <c r="U693" i="1" s="1"/>
  <c r="D693" i="1"/>
  <c r="B693" i="1"/>
  <c r="N692" i="1"/>
  <c r="U692" i="1" s="1"/>
  <c r="D692" i="1"/>
  <c r="B692" i="1"/>
  <c r="N691" i="1"/>
  <c r="U691" i="1" s="1"/>
  <c r="D691" i="1"/>
  <c r="B691" i="1"/>
  <c r="U690" i="1"/>
  <c r="D690" i="1"/>
  <c r="B690" i="1"/>
  <c r="U689" i="1"/>
  <c r="D689" i="1"/>
  <c r="B689" i="1"/>
  <c r="U688" i="1"/>
  <c r="D688" i="1"/>
  <c r="B688" i="1"/>
  <c r="U687" i="1"/>
  <c r="D687" i="1"/>
  <c r="B687" i="1"/>
  <c r="N686" i="1"/>
  <c r="U686" i="1" s="1"/>
  <c r="D686" i="1"/>
  <c r="B686" i="1"/>
  <c r="N685" i="1"/>
  <c r="U685" i="1" s="1"/>
  <c r="D685" i="1"/>
  <c r="B685" i="1"/>
  <c r="N684" i="1"/>
  <c r="U684" i="1" s="1"/>
  <c r="D684" i="1"/>
  <c r="B684" i="1"/>
  <c r="N683" i="1"/>
  <c r="U683" i="1" s="1"/>
  <c r="D683" i="1"/>
  <c r="B683" i="1"/>
  <c r="N682" i="1"/>
  <c r="U682" i="1" s="1"/>
  <c r="D682" i="1"/>
  <c r="B682" i="1"/>
  <c r="N681" i="1"/>
  <c r="U681" i="1" s="1"/>
  <c r="D681" i="1"/>
  <c r="B681" i="1"/>
  <c r="N680" i="1"/>
  <c r="U680" i="1" s="1"/>
  <c r="D680" i="1"/>
  <c r="B680" i="1"/>
  <c r="N679" i="1"/>
  <c r="U679" i="1" s="1"/>
  <c r="D679" i="1"/>
  <c r="B679" i="1"/>
  <c r="N678" i="1"/>
  <c r="U678" i="1" s="1"/>
  <c r="D678" i="1"/>
  <c r="B678" i="1"/>
  <c r="N677" i="1"/>
  <c r="U677" i="1" s="1"/>
  <c r="D677" i="1"/>
  <c r="B677" i="1"/>
  <c r="N676" i="1"/>
  <c r="U676" i="1" s="1"/>
  <c r="D676" i="1"/>
  <c r="B676" i="1"/>
  <c r="N675" i="1"/>
  <c r="U675" i="1" s="1"/>
  <c r="D675" i="1"/>
  <c r="B675" i="1"/>
  <c r="N674" i="1"/>
  <c r="U674" i="1" s="1"/>
  <c r="D674" i="1"/>
  <c r="B674" i="1"/>
  <c r="N673" i="1"/>
  <c r="U673" i="1" s="1"/>
  <c r="D673" i="1"/>
  <c r="B673" i="1"/>
  <c r="N672" i="1"/>
  <c r="U672" i="1" s="1"/>
  <c r="D672" i="1"/>
  <c r="B672" i="1"/>
  <c r="N671" i="1"/>
  <c r="U671" i="1" s="1"/>
  <c r="D671" i="1"/>
  <c r="B671" i="1"/>
  <c r="N670" i="1"/>
  <c r="U670" i="1" s="1"/>
  <c r="D670" i="1"/>
  <c r="B670" i="1"/>
  <c r="N669" i="1"/>
  <c r="U669" i="1" s="1"/>
  <c r="D669" i="1"/>
  <c r="B669" i="1"/>
  <c r="N668" i="1"/>
  <c r="U668" i="1" s="1"/>
  <c r="D668" i="1"/>
  <c r="B668" i="1"/>
  <c r="N667" i="1"/>
  <c r="U667" i="1" s="1"/>
  <c r="D667" i="1"/>
  <c r="B667" i="1"/>
  <c r="N666" i="1"/>
  <c r="U666" i="1" s="1"/>
  <c r="D666" i="1"/>
  <c r="B666" i="1"/>
  <c r="N665" i="1"/>
  <c r="U665" i="1" s="1"/>
  <c r="D665" i="1"/>
  <c r="B665" i="1"/>
  <c r="N664" i="1"/>
  <c r="U664" i="1" s="1"/>
  <c r="D664" i="1"/>
  <c r="B664" i="1"/>
  <c r="N663" i="1"/>
  <c r="U663" i="1" s="1"/>
  <c r="D663" i="1"/>
  <c r="B663" i="1"/>
  <c r="N662" i="1"/>
  <c r="U662" i="1" s="1"/>
  <c r="D662" i="1"/>
  <c r="B662" i="1"/>
  <c r="N661" i="1"/>
  <c r="U661" i="1" s="1"/>
  <c r="D661" i="1"/>
  <c r="B661" i="1"/>
  <c r="N660" i="1"/>
  <c r="U660" i="1" s="1"/>
  <c r="D660" i="1"/>
  <c r="B660" i="1"/>
  <c r="N659" i="1"/>
  <c r="U659" i="1" s="1"/>
  <c r="D659" i="1"/>
  <c r="B659" i="1"/>
  <c r="N658" i="1"/>
  <c r="U658" i="1" s="1"/>
  <c r="D658" i="1"/>
  <c r="B658" i="1"/>
  <c r="N657" i="1"/>
  <c r="U657" i="1" s="1"/>
  <c r="D657" i="1"/>
  <c r="B657" i="1"/>
  <c r="U656" i="1"/>
  <c r="D656" i="1"/>
  <c r="B656" i="1"/>
  <c r="U655" i="1"/>
  <c r="D655" i="1"/>
  <c r="B655" i="1"/>
  <c r="U654" i="1"/>
  <c r="D654" i="1"/>
  <c r="B654" i="1"/>
  <c r="U653" i="1"/>
  <c r="D653" i="1"/>
  <c r="B653" i="1"/>
  <c r="U652" i="1"/>
  <c r="D652" i="1"/>
  <c r="B652" i="1"/>
  <c r="N651" i="1"/>
  <c r="U651" i="1" s="1"/>
  <c r="D651" i="1"/>
  <c r="B651" i="1"/>
  <c r="N650" i="1"/>
  <c r="U650" i="1" s="1"/>
  <c r="D650" i="1"/>
  <c r="B650" i="1"/>
  <c r="U649" i="1"/>
  <c r="N649" i="1"/>
  <c r="D649" i="1"/>
  <c r="B649" i="1"/>
  <c r="N648" i="1"/>
  <c r="U648" i="1" s="1"/>
  <c r="D648" i="1"/>
  <c r="B648" i="1"/>
  <c r="U647" i="1"/>
  <c r="N647" i="1"/>
  <c r="D647" i="1"/>
  <c r="B647" i="1"/>
  <c r="N646" i="1"/>
  <c r="U646" i="1" s="1"/>
  <c r="D646" i="1"/>
  <c r="B646" i="1"/>
  <c r="N645" i="1"/>
  <c r="U645" i="1" s="1"/>
  <c r="D645" i="1"/>
  <c r="B645" i="1"/>
  <c r="N644" i="1"/>
  <c r="U644" i="1" s="1"/>
  <c r="D644" i="1"/>
  <c r="B644" i="1"/>
  <c r="U643" i="1"/>
  <c r="D643" i="1"/>
  <c r="B643" i="1"/>
  <c r="U642" i="1"/>
  <c r="N642" i="1"/>
  <c r="D642" i="1"/>
  <c r="B642" i="1"/>
  <c r="U641" i="1"/>
  <c r="N641" i="1"/>
  <c r="D641" i="1"/>
  <c r="B641" i="1"/>
  <c r="U640" i="1"/>
  <c r="N640" i="1"/>
  <c r="D640" i="1"/>
  <c r="B640" i="1"/>
  <c r="U639" i="1"/>
  <c r="N639" i="1"/>
  <c r="D639" i="1"/>
  <c r="B639" i="1"/>
  <c r="U638" i="1"/>
  <c r="N638" i="1"/>
  <c r="D638" i="1"/>
  <c r="B638" i="1"/>
  <c r="U637" i="1"/>
  <c r="N637" i="1"/>
  <c r="D637" i="1"/>
  <c r="B637" i="1"/>
  <c r="U636" i="1"/>
  <c r="N636" i="1"/>
  <c r="D636" i="1"/>
  <c r="B636" i="1"/>
  <c r="U635" i="1"/>
  <c r="N635" i="1"/>
  <c r="D635" i="1"/>
  <c r="B635" i="1"/>
  <c r="U634" i="1"/>
  <c r="N634" i="1"/>
  <c r="D634" i="1"/>
  <c r="B634" i="1"/>
  <c r="U633" i="1"/>
  <c r="N633" i="1"/>
  <c r="D633" i="1"/>
  <c r="B633" i="1"/>
  <c r="U632" i="1"/>
  <c r="N632" i="1"/>
  <c r="D632" i="1"/>
  <c r="B632" i="1"/>
  <c r="U631" i="1"/>
  <c r="D631" i="1"/>
  <c r="B631" i="1"/>
  <c r="U630" i="1"/>
  <c r="D630" i="1"/>
  <c r="B630" i="1"/>
  <c r="N629" i="1"/>
  <c r="U629" i="1" s="1"/>
  <c r="D629" i="1"/>
  <c r="B629" i="1"/>
  <c r="N628" i="1"/>
  <c r="U628" i="1" s="1"/>
  <c r="D628" i="1"/>
  <c r="B628" i="1"/>
  <c r="N627" i="1"/>
  <c r="U627" i="1" s="1"/>
  <c r="D627" i="1"/>
  <c r="B627" i="1"/>
  <c r="U626" i="1"/>
  <c r="D626" i="1"/>
  <c r="B626" i="1"/>
  <c r="M625" i="1"/>
  <c r="U625" i="1" s="1"/>
  <c r="D625" i="1"/>
  <c r="B625" i="1"/>
  <c r="U624" i="1"/>
  <c r="D624" i="1"/>
  <c r="B624" i="1"/>
  <c r="U623" i="1"/>
  <c r="D623" i="1"/>
  <c r="B623" i="1"/>
  <c r="U622" i="1"/>
  <c r="D622" i="1"/>
  <c r="B622" i="1"/>
  <c r="N621" i="1"/>
  <c r="U621" i="1" s="1"/>
  <c r="D621" i="1"/>
  <c r="B621" i="1"/>
  <c r="N620" i="1"/>
  <c r="U620" i="1" s="1"/>
  <c r="D620" i="1"/>
  <c r="B620" i="1"/>
  <c r="U619" i="1"/>
  <c r="D619" i="1"/>
  <c r="B619" i="1"/>
  <c r="U618" i="1"/>
  <c r="D618" i="1"/>
  <c r="B618" i="1"/>
  <c r="U617" i="1"/>
  <c r="D617" i="1"/>
  <c r="B617" i="1"/>
  <c r="U616" i="1"/>
  <c r="D616" i="1"/>
  <c r="B616" i="1"/>
  <c r="U615" i="1"/>
  <c r="D615" i="1"/>
  <c r="B615" i="1"/>
  <c r="N614" i="1"/>
  <c r="U614" i="1" s="1"/>
  <c r="D614" i="1"/>
  <c r="B614" i="1"/>
  <c r="N613" i="1"/>
  <c r="U613" i="1" s="1"/>
  <c r="D613" i="1"/>
  <c r="B613" i="1"/>
  <c r="N612" i="1"/>
  <c r="U612" i="1" s="1"/>
  <c r="D612" i="1"/>
  <c r="B612" i="1"/>
  <c r="N611" i="1"/>
  <c r="U611" i="1" s="1"/>
  <c r="D611" i="1"/>
  <c r="B611" i="1"/>
  <c r="N610" i="1"/>
  <c r="U610" i="1" s="1"/>
  <c r="D610" i="1"/>
  <c r="B610" i="1"/>
  <c r="N609" i="1"/>
  <c r="U609" i="1" s="1"/>
  <c r="D609" i="1"/>
  <c r="B609" i="1"/>
  <c r="N608" i="1"/>
  <c r="U608" i="1" s="1"/>
  <c r="D608" i="1"/>
  <c r="B608" i="1"/>
  <c r="N607" i="1"/>
  <c r="U607" i="1" s="1"/>
  <c r="D607" i="1"/>
  <c r="B607" i="1"/>
  <c r="N606" i="1"/>
  <c r="U606" i="1" s="1"/>
  <c r="D606" i="1"/>
  <c r="B606" i="1"/>
  <c r="N605" i="1"/>
  <c r="U605" i="1" s="1"/>
  <c r="D605" i="1"/>
  <c r="B605" i="1"/>
  <c r="N604" i="1"/>
  <c r="U604" i="1" s="1"/>
  <c r="D604" i="1"/>
  <c r="B604" i="1"/>
  <c r="N603" i="1"/>
  <c r="U603" i="1" s="1"/>
  <c r="D603" i="1"/>
  <c r="B603" i="1"/>
  <c r="N602" i="1"/>
  <c r="U602" i="1" s="1"/>
  <c r="D602" i="1"/>
  <c r="B602" i="1"/>
  <c r="N601" i="1"/>
  <c r="U601" i="1" s="1"/>
  <c r="D601" i="1"/>
  <c r="B601" i="1"/>
  <c r="N600" i="1"/>
  <c r="U600" i="1" s="1"/>
  <c r="D600" i="1"/>
  <c r="B600" i="1"/>
  <c r="N599" i="1"/>
  <c r="U599" i="1" s="1"/>
  <c r="D599" i="1"/>
  <c r="B599" i="1"/>
  <c r="D598" i="1"/>
  <c r="B598" i="1"/>
  <c r="D597" i="1"/>
  <c r="B597" i="1"/>
  <c r="D596" i="1"/>
  <c r="B596" i="1"/>
  <c r="D595" i="1"/>
  <c r="B595" i="1"/>
  <c r="D594" i="1"/>
  <c r="B594" i="1"/>
  <c r="D593" i="1"/>
  <c r="B593" i="1"/>
  <c r="D592" i="1"/>
  <c r="B592" i="1"/>
  <c r="D591" i="1"/>
  <c r="B591" i="1"/>
  <c r="D590" i="1"/>
  <c r="B590" i="1"/>
  <c r="D589" i="1"/>
  <c r="B589" i="1"/>
  <c r="D588" i="1"/>
  <c r="B588" i="1"/>
  <c r="D587" i="1"/>
  <c r="B587" i="1"/>
  <c r="N586" i="1"/>
  <c r="U586" i="1" s="1"/>
  <c r="D586" i="1"/>
  <c r="B586" i="1"/>
  <c r="N585" i="1"/>
  <c r="U585" i="1" s="1"/>
  <c r="D585" i="1"/>
  <c r="B585" i="1"/>
  <c r="N584" i="1"/>
  <c r="U584" i="1" s="1"/>
  <c r="D584" i="1"/>
  <c r="B584" i="1"/>
  <c r="N583" i="1"/>
  <c r="U583" i="1" s="1"/>
  <c r="D583" i="1"/>
  <c r="B583" i="1"/>
  <c r="N582" i="1"/>
  <c r="U582" i="1" s="1"/>
  <c r="D582" i="1"/>
  <c r="B582" i="1"/>
  <c r="N581" i="1"/>
  <c r="U581" i="1" s="1"/>
  <c r="D581" i="1"/>
  <c r="B581" i="1"/>
  <c r="N580" i="1"/>
  <c r="U580" i="1" s="1"/>
  <c r="D580" i="1"/>
  <c r="B580" i="1"/>
  <c r="N579" i="1"/>
  <c r="U579" i="1" s="1"/>
  <c r="D579" i="1"/>
  <c r="B579" i="1"/>
  <c r="N578" i="1"/>
  <c r="U578" i="1" s="1"/>
  <c r="D578" i="1"/>
  <c r="B578" i="1"/>
  <c r="N577" i="1"/>
  <c r="U577" i="1" s="1"/>
  <c r="D577" i="1"/>
  <c r="B577" i="1"/>
  <c r="N576" i="1"/>
  <c r="U576" i="1" s="1"/>
  <c r="D576" i="1"/>
  <c r="B576" i="1"/>
  <c r="N575" i="1"/>
  <c r="U575" i="1" s="1"/>
  <c r="D575" i="1"/>
  <c r="B575" i="1"/>
  <c r="N574" i="1"/>
  <c r="U574" i="1" s="1"/>
  <c r="D574" i="1"/>
  <c r="B574" i="1"/>
  <c r="N573" i="1"/>
  <c r="U573" i="1" s="1"/>
  <c r="D573" i="1"/>
  <c r="B573" i="1"/>
  <c r="N572" i="1"/>
  <c r="U572" i="1" s="1"/>
  <c r="D572" i="1"/>
  <c r="B572" i="1"/>
  <c r="N571" i="1"/>
  <c r="U571" i="1" s="1"/>
  <c r="D571" i="1"/>
  <c r="B571" i="1"/>
  <c r="U570" i="1"/>
  <c r="D570" i="1"/>
  <c r="B570" i="1"/>
  <c r="U569" i="1"/>
  <c r="D569" i="1"/>
  <c r="B569" i="1"/>
  <c r="U568" i="1"/>
  <c r="D568" i="1"/>
  <c r="B568" i="1"/>
  <c r="D567" i="1"/>
  <c r="B567" i="1"/>
  <c r="U566" i="1"/>
  <c r="N566" i="1"/>
  <c r="D566" i="1"/>
  <c r="B566" i="1"/>
  <c r="U565" i="1"/>
  <c r="D565" i="1"/>
  <c r="B565" i="1"/>
  <c r="U564" i="1"/>
  <c r="D564" i="1"/>
  <c r="B564" i="1"/>
  <c r="U563" i="1"/>
  <c r="D563" i="1"/>
  <c r="B563" i="1"/>
  <c r="N562" i="1"/>
  <c r="U562" i="1" s="1"/>
  <c r="D562" i="1"/>
  <c r="B562" i="1"/>
  <c r="N561" i="1"/>
  <c r="U561" i="1" s="1"/>
  <c r="D561" i="1"/>
  <c r="B561" i="1"/>
  <c r="N560" i="1"/>
  <c r="U560" i="1" s="1"/>
  <c r="D560" i="1"/>
  <c r="B560" i="1"/>
  <c r="N559" i="1"/>
  <c r="U559" i="1" s="1"/>
  <c r="D559" i="1"/>
  <c r="B559" i="1"/>
  <c r="U558" i="1"/>
  <c r="D558" i="1"/>
  <c r="B558" i="1"/>
  <c r="U557" i="1"/>
  <c r="D557" i="1"/>
  <c r="B557" i="1"/>
  <c r="N556" i="1"/>
  <c r="U556" i="1" s="1"/>
  <c r="D556" i="1"/>
  <c r="B556" i="1"/>
  <c r="N555" i="1"/>
  <c r="U555" i="1" s="1"/>
  <c r="D555" i="1"/>
  <c r="B555" i="1"/>
  <c r="U554" i="1"/>
  <c r="D554" i="1"/>
  <c r="B554" i="1"/>
  <c r="U553" i="1"/>
  <c r="N553" i="1"/>
  <c r="D553" i="1"/>
  <c r="B553" i="1"/>
  <c r="U552" i="1"/>
  <c r="D552" i="1"/>
  <c r="B552" i="1"/>
  <c r="U551" i="1"/>
  <c r="D551" i="1"/>
  <c r="B551" i="1"/>
  <c r="D550" i="1"/>
  <c r="B550" i="1"/>
  <c r="D549" i="1"/>
  <c r="B549" i="1"/>
  <c r="N548" i="1"/>
  <c r="U548" i="1" s="1"/>
  <c r="D548" i="1"/>
  <c r="B548" i="1"/>
  <c r="U547" i="1"/>
  <c r="D547" i="1"/>
  <c r="B547" i="1"/>
  <c r="U546" i="1"/>
  <c r="D546" i="1"/>
  <c r="B546" i="1"/>
  <c r="U545" i="1"/>
  <c r="D545" i="1"/>
  <c r="B545" i="1"/>
  <c r="U544" i="1"/>
  <c r="D544" i="1"/>
  <c r="B544" i="1"/>
  <c r="U543" i="1"/>
  <c r="D543" i="1"/>
  <c r="B543" i="1"/>
  <c r="U542" i="1"/>
  <c r="D542" i="1"/>
  <c r="B542" i="1"/>
  <c r="U541" i="1"/>
  <c r="D541" i="1"/>
  <c r="B541" i="1"/>
  <c r="U540" i="1"/>
  <c r="D540" i="1"/>
  <c r="B540" i="1"/>
  <c r="U539" i="1"/>
  <c r="D539" i="1"/>
  <c r="B539" i="1"/>
  <c r="U538" i="1"/>
  <c r="D538" i="1"/>
  <c r="B538" i="1"/>
  <c r="U537" i="1"/>
  <c r="D537" i="1"/>
  <c r="B537" i="1"/>
  <c r="U536" i="1"/>
  <c r="D536" i="1"/>
  <c r="B536" i="1"/>
  <c r="U535" i="1"/>
  <c r="D535" i="1"/>
  <c r="B535" i="1"/>
  <c r="U534" i="1"/>
  <c r="D534" i="1"/>
  <c r="B534" i="1"/>
  <c r="U533" i="1"/>
  <c r="D533" i="1"/>
  <c r="B533" i="1"/>
  <c r="U532" i="1"/>
  <c r="D532" i="1"/>
  <c r="B532" i="1"/>
  <c r="U531" i="1"/>
  <c r="D531" i="1"/>
  <c r="B531" i="1"/>
  <c r="U530" i="1"/>
  <c r="D530" i="1"/>
  <c r="B530" i="1"/>
  <c r="U529" i="1"/>
  <c r="D529" i="1"/>
  <c r="B529" i="1"/>
  <c r="U528" i="1"/>
  <c r="D528" i="1"/>
  <c r="B528" i="1"/>
  <c r="U527" i="1"/>
  <c r="D527" i="1"/>
  <c r="B527" i="1"/>
  <c r="U526" i="1"/>
  <c r="D526" i="1"/>
  <c r="B526" i="1"/>
  <c r="U525" i="1"/>
  <c r="D525" i="1"/>
  <c r="B525" i="1"/>
  <c r="U524" i="1"/>
  <c r="D524" i="1"/>
  <c r="B524" i="1"/>
  <c r="U523" i="1"/>
  <c r="D523" i="1"/>
  <c r="B523" i="1"/>
  <c r="U522" i="1"/>
  <c r="D522" i="1"/>
  <c r="B522" i="1"/>
  <c r="U521" i="1"/>
  <c r="D521" i="1"/>
  <c r="B521" i="1"/>
  <c r="U520" i="1"/>
  <c r="D520" i="1"/>
  <c r="B520" i="1"/>
  <c r="U519" i="1"/>
  <c r="D519" i="1"/>
  <c r="B519" i="1"/>
  <c r="U518" i="1"/>
  <c r="D518" i="1"/>
  <c r="B518" i="1"/>
  <c r="D517" i="1"/>
  <c r="B517" i="1"/>
  <c r="D516" i="1"/>
  <c r="B516" i="1"/>
  <c r="D515" i="1"/>
  <c r="B515" i="1"/>
  <c r="D514" i="1"/>
  <c r="B514" i="1"/>
  <c r="D513" i="1"/>
  <c r="B513" i="1"/>
  <c r="D512" i="1"/>
  <c r="B512" i="1"/>
  <c r="D511" i="1"/>
  <c r="B511" i="1"/>
  <c r="D510" i="1"/>
  <c r="B510" i="1"/>
  <c r="D509" i="1"/>
  <c r="B509" i="1"/>
  <c r="D508" i="1"/>
  <c r="B508" i="1"/>
  <c r="U507" i="1"/>
  <c r="N507" i="1"/>
  <c r="D507" i="1"/>
  <c r="B507" i="1"/>
  <c r="U506" i="1"/>
  <c r="N506" i="1"/>
  <c r="D506" i="1"/>
  <c r="B506" i="1"/>
  <c r="U505" i="1"/>
  <c r="N505" i="1"/>
  <c r="D505" i="1"/>
  <c r="B505" i="1"/>
  <c r="U504" i="1"/>
  <c r="N504" i="1"/>
  <c r="D504" i="1"/>
  <c r="B504" i="1"/>
  <c r="U503" i="1"/>
  <c r="D503" i="1"/>
  <c r="B503" i="1"/>
  <c r="N502" i="1"/>
  <c r="U502" i="1" s="1"/>
  <c r="D502" i="1"/>
  <c r="B502" i="1"/>
  <c r="N501" i="1"/>
  <c r="U501" i="1" s="1"/>
  <c r="D501" i="1"/>
  <c r="B501" i="1"/>
  <c r="N500" i="1"/>
  <c r="U500" i="1" s="1"/>
  <c r="D500" i="1"/>
  <c r="B500" i="1"/>
  <c r="U499" i="1"/>
  <c r="D499" i="1"/>
  <c r="B499" i="1"/>
  <c r="N498" i="1"/>
  <c r="U498" i="1" s="1"/>
  <c r="D498" i="1"/>
  <c r="B498" i="1"/>
  <c r="N497" i="1"/>
  <c r="U497" i="1" s="1"/>
  <c r="D497" i="1"/>
  <c r="B497" i="1"/>
  <c r="N496" i="1"/>
  <c r="U496" i="1" s="1"/>
  <c r="D496" i="1"/>
  <c r="B496" i="1"/>
  <c r="U495" i="1"/>
  <c r="D495" i="1"/>
  <c r="B495" i="1"/>
  <c r="U494" i="1"/>
  <c r="D494" i="1"/>
  <c r="B494" i="1"/>
  <c r="U493" i="1"/>
  <c r="D493" i="1"/>
  <c r="B493" i="1"/>
  <c r="U492" i="1"/>
  <c r="D492" i="1"/>
  <c r="B492" i="1"/>
  <c r="U491" i="1"/>
  <c r="D491" i="1"/>
  <c r="B491" i="1"/>
  <c r="U490" i="1"/>
  <c r="D490" i="1"/>
  <c r="B490" i="1"/>
  <c r="U489" i="1"/>
  <c r="D489" i="1"/>
  <c r="B489" i="1"/>
  <c r="U488" i="1"/>
  <c r="D488" i="1"/>
  <c r="B488" i="1"/>
  <c r="U487" i="1"/>
  <c r="D487" i="1"/>
  <c r="B487" i="1"/>
  <c r="U486" i="1"/>
  <c r="D486" i="1"/>
  <c r="B486" i="1"/>
  <c r="U485" i="1"/>
  <c r="D485" i="1"/>
  <c r="B485" i="1"/>
  <c r="U484" i="1"/>
  <c r="D484" i="1"/>
  <c r="B484" i="1"/>
  <c r="D483" i="1"/>
  <c r="B483" i="1"/>
  <c r="D482" i="1"/>
  <c r="B482" i="1"/>
  <c r="D481" i="1"/>
  <c r="B481" i="1"/>
  <c r="U480" i="1"/>
  <c r="D480" i="1"/>
  <c r="B480" i="1"/>
  <c r="U479" i="1"/>
  <c r="D479" i="1"/>
  <c r="B479" i="1"/>
  <c r="U478" i="1"/>
  <c r="D478" i="1"/>
  <c r="B478" i="1"/>
  <c r="N477" i="1"/>
  <c r="U477" i="1" s="1"/>
  <c r="D477" i="1"/>
  <c r="B477" i="1"/>
  <c r="N476" i="1"/>
  <c r="U476" i="1" s="1"/>
  <c r="D476" i="1"/>
  <c r="B476" i="1"/>
  <c r="U475" i="1"/>
  <c r="D475" i="1"/>
  <c r="B475" i="1"/>
  <c r="U474" i="1"/>
  <c r="D474" i="1"/>
  <c r="B474" i="1"/>
  <c r="U473" i="1"/>
  <c r="D473" i="1"/>
  <c r="B473" i="1"/>
  <c r="U472" i="1"/>
  <c r="D472" i="1"/>
  <c r="B472" i="1"/>
  <c r="U471" i="1"/>
  <c r="D471" i="1"/>
  <c r="B471" i="1"/>
  <c r="N470" i="1"/>
  <c r="U470" i="1" s="1"/>
  <c r="D470" i="1"/>
  <c r="B470" i="1"/>
  <c r="U469" i="1"/>
  <c r="D469" i="1"/>
  <c r="B469" i="1"/>
  <c r="U468" i="1"/>
  <c r="D468" i="1"/>
  <c r="B468" i="1"/>
  <c r="U467" i="1"/>
  <c r="D467" i="1"/>
  <c r="B467" i="1"/>
  <c r="U466" i="1"/>
  <c r="D466" i="1"/>
  <c r="B466" i="1"/>
  <c r="N465" i="1"/>
  <c r="U465" i="1" s="1"/>
  <c r="D465" i="1"/>
  <c r="B465" i="1"/>
  <c r="U464" i="1"/>
  <c r="D464" i="1"/>
  <c r="B464" i="1"/>
  <c r="N463" i="1"/>
  <c r="U463" i="1" s="1"/>
  <c r="D463" i="1"/>
  <c r="B463" i="1"/>
  <c r="U462" i="1"/>
  <c r="D462" i="1"/>
  <c r="B462" i="1"/>
  <c r="U461" i="1"/>
  <c r="D461" i="1"/>
  <c r="B461" i="1"/>
  <c r="U460" i="1"/>
  <c r="D460" i="1"/>
  <c r="B460" i="1"/>
  <c r="N459" i="1"/>
  <c r="U459" i="1" s="1"/>
  <c r="D459" i="1"/>
  <c r="B459" i="1"/>
  <c r="N458" i="1"/>
  <c r="U458" i="1" s="1"/>
  <c r="D458" i="1"/>
  <c r="B458" i="1"/>
  <c r="D457" i="1"/>
  <c r="B457" i="1"/>
  <c r="U456" i="1"/>
  <c r="N456" i="1"/>
  <c r="D456" i="1"/>
  <c r="B456" i="1"/>
  <c r="D455" i="1"/>
  <c r="B455" i="1"/>
  <c r="D454" i="1"/>
  <c r="B454" i="1"/>
  <c r="U453" i="1"/>
  <c r="D453" i="1"/>
  <c r="B453" i="1"/>
  <c r="N452" i="1"/>
  <c r="U452" i="1" s="1"/>
  <c r="D452" i="1"/>
  <c r="B452" i="1"/>
  <c r="N451" i="1"/>
  <c r="U451" i="1" s="1"/>
  <c r="D451" i="1"/>
  <c r="B451" i="1"/>
  <c r="N450" i="1"/>
  <c r="U450" i="1" s="1"/>
  <c r="D450" i="1"/>
  <c r="B450" i="1"/>
  <c r="N449" i="1"/>
  <c r="U449" i="1" s="1"/>
  <c r="D449" i="1"/>
  <c r="B449" i="1"/>
  <c r="U448" i="1"/>
  <c r="D448" i="1"/>
  <c r="B448" i="1"/>
  <c r="U447" i="1"/>
  <c r="D447" i="1"/>
  <c r="B447" i="1"/>
  <c r="U446" i="1"/>
  <c r="D446" i="1"/>
  <c r="B446" i="1"/>
  <c r="U445" i="1"/>
  <c r="N445" i="1"/>
  <c r="D445" i="1"/>
  <c r="B445" i="1"/>
  <c r="U444" i="1"/>
  <c r="N444" i="1"/>
  <c r="D444" i="1"/>
  <c r="B444" i="1"/>
  <c r="U443" i="1"/>
  <c r="D443" i="1"/>
  <c r="B443" i="1"/>
  <c r="N442" i="1"/>
  <c r="U442" i="1" s="1"/>
  <c r="D442" i="1"/>
  <c r="B442" i="1"/>
  <c r="N441" i="1"/>
  <c r="U441" i="1" s="1"/>
  <c r="D441" i="1"/>
  <c r="B441" i="1"/>
  <c r="U440" i="1"/>
  <c r="D440" i="1"/>
  <c r="B440" i="1"/>
  <c r="U439" i="1"/>
  <c r="D439" i="1"/>
  <c r="B439" i="1"/>
  <c r="U438" i="1"/>
  <c r="D438" i="1"/>
  <c r="B438" i="1"/>
  <c r="U437" i="1"/>
  <c r="D437" i="1"/>
  <c r="B437" i="1"/>
  <c r="U436" i="1"/>
  <c r="D436" i="1"/>
  <c r="B436" i="1"/>
  <c r="U435" i="1"/>
  <c r="D435" i="1"/>
  <c r="B435" i="1"/>
  <c r="U434" i="1"/>
  <c r="D434" i="1"/>
  <c r="B434" i="1"/>
  <c r="U433" i="1"/>
  <c r="D433" i="1"/>
  <c r="B433" i="1"/>
  <c r="U432" i="1"/>
  <c r="D432" i="1"/>
  <c r="B432" i="1"/>
  <c r="U431" i="1"/>
  <c r="D431" i="1"/>
  <c r="B431" i="1"/>
  <c r="U430" i="1"/>
  <c r="D430" i="1"/>
  <c r="B430" i="1"/>
  <c r="U429" i="1"/>
  <c r="D429" i="1"/>
  <c r="B429" i="1"/>
  <c r="U428" i="1"/>
  <c r="D428" i="1"/>
  <c r="B428" i="1"/>
  <c r="U427" i="1"/>
  <c r="D427" i="1"/>
  <c r="B427" i="1"/>
  <c r="N426" i="1"/>
  <c r="U426" i="1" s="1"/>
  <c r="D426" i="1"/>
  <c r="B426" i="1"/>
  <c r="N425" i="1"/>
  <c r="U425" i="1" s="1"/>
  <c r="D425" i="1"/>
  <c r="B425" i="1"/>
  <c r="U424" i="1"/>
  <c r="D424" i="1"/>
  <c r="B424" i="1"/>
  <c r="U423" i="1"/>
  <c r="D423" i="1"/>
  <c r="B423" i="1"/>
  <c r="U422" i="1"/>
  <c r="D422" i="1"/>
  <c r="B422" i="1"/>
  <c r="U421" i="1"/>
  <c r="N421" i="1"/>
  <c r="D421" i="1"/>
  <c r="B421" i="1"/>
  <c r="U420" i="1"/>
  <c r="N420" i="1"/>
  <c r="D420" i="1"/>
  <c r="B420" i="1"/>
  <c r="D419" i="1"/>
  <c r="B419" i="1"/>
  <c r="D418" i="1"/>
  <c r="B418" i="1"/>
  <c r="U417" i="1"/>
  <c r="D417" i="1"/>
  <c r="B417" i="1"/>
  <c r="U416" i="1"/>
  <c r="D416" i="1"/>
  <c r="B416" i="1"/>
  <c r="U415" i="1"/>
  <c r="D415" i="1"/>
  <c r="B415" i="1"/>
  <c r="U414" i="1"/>
  <c r="D414" i="1"/>
  <c r="B414" i="1"/>
  <c r="U413" i="1"/>
  <c r="D413" i="1"/>
  <c r="B413" i="1"/>
  <c r="U412" i="1"/>
  <c r="D412" i="1"/>
  <c r="B412" i="1"/>
  <c r="N411" i="1"/>
  <c r="U411" i="1" s="1"/>
  <c r="D411" i="1"/>
  <c r="B411" i="1"/>
  <c r="U410" i="1"/>
  <c r="D410" i="1"/>
  <c r="B410" i="1"/>
  <c r="U409" i="1"/>
  <c r="D409" i="1"/>
  <c r="B409" i="1"/>
  <c r="U408" i="1"/>
  <c r="N408" i="1"/>
  <c r="D408" i="1"/>
  <c r="B408" i="1"/>
  <c r="U407" i="1"/>
  <c r="D407" i="1"/>
  <c r="B407" i="1"/>
  <c r="N406" i="1"/>
  <c r="U406" i="1" s="1"/>
  <c r="D406" i="1"/>
  <c r="B406" i="1"/>
  <c r="U405" i="1"/>
  <c r="D405" i="1"/>
  <c r="B405" i="1"/>
  <c r="U404" i="1"/>
  <c r="D404" i="1"/>
  <c r="B404" i="1"/>
  <c r="N403" i="1"/>
  <c r="U403" i="1" s="1"/>
  <c r="D403" i="1"/>
  <c r="B403" i="1"/>
  <c r="U402" i="1"/>
  <c r="D402" i="1"/>
  <c r="B402" i="1"/>
  <c r="N401" i="1"/>
  <c r="U401" i="1" s="1"/>
  <c r="D401" i="1"/>
  <c r="B401" i="1"/>
  <c r="U400" i="1"/>
  <c r="D400" i="1"/>
  <c r="B400" i="1"/>
  <c r="N399" i="1"/>
  <c r="U399" i="1" s="1"/>
  <c r="D399" i="1"/>
  <c r="B399" i="1"/>
  <c r="U398" i="1"/>
  <c r="D398" i="1"/>
  <c r="B398" i="1"/>
  <c r="U397" i="1"/>
  <c r="N397" i="1"/>
  <c r="D397" i="1"/>
  <c r="B397" i="1"/>
  <c r="U396" i="1"/>
  <c r="D396" i="1"/>
  <c r="B396" i="1"/>
  <c r="N395" i="1"/>
  <c r="U395" i="1" s="1"/>
  <c r="D395" i="1"/>
  <c r="B395" i="1"/>
  <c r="U394" i="1"/>
  <c r="D394" i="1"/>
  <c r="B394" i="1"/>
  <c r="N393" i="1"/>
  <c r="U393" i="1" s="1"/>
  <c r="D393" i="1"/>
  <c r="B393" i="1"/>
  <c r="U392" i="1"/>
  <c r="D392" i="1"/>
  <c r="B392" i="1"/>
  <c r="U391" i="1"/>
  <c r="N391" i="1"/>
  <c r="D391" i="1"/>
  <c r="B391" i="1"/>
  <c r="U390" i="1"/>
  <c r="N390" i="1"/>
  <c r="D390" i="1"/>
  <c r="B390" i="1"/>
  <c r="U389" i="1"/>
  <c r="D389" i="1"/>
  <c r="B389" i="1"/>
  <c r="U388" i="1"/>
  <c r="D388" i="1"/>
  <c r="B388" i="1"/>
  <c r="N387" i="1"/>
  <c r="U387" i="1" s="1"/>
  <c r="D387" i="1"/>
  <c r="B387" i="1"/>
  <c r="N386" i="1"/>
  <c r="U386" i="1" s="1"/>
  <c r="D386" i="1"/>
  <c r="B386" i="1"/>
  <c r="U385" i="1"/>
  <c r="D385" i="1"/>
  <c r="B385" i="1"/>
  <c r="U384" i="1"/>
  <c r="N384" i="1"/>
  <c r="D384" i="1"/>
  <c r="B384" i="1"/>
  <c r="U383" i="1"/>
  <c r="N383" i="1"/>
  <c r="D383" i="1"/>
  <c r="B383" i="1"/>
  <c r="U382" i="1"/>
  <c r="N382" i="1"/>
  <c r="D382" i="1"/>
  <c r="B382" i="1"/>
  <c r="U381" i="1"/>
  <c r="N381" i="1"/>
  <c r="D381" i="1"/>
  <c r="B381" i="1"/>
  <c r="U380" i="1"/>
  <c r="N380" i="1"/>
  <c r="D380" i="1"/>
  <c r="B380" i="1"/>
  <c r="U379" i="1"/>
  <c r="D379" i="1"/>
  <c r="B379" i="1"/>
  <c r="N378" i="1"/>
  <c r="U378" i="1" s="1"/>
  <c r="D378" i="1"/>
  <c r="B378" i="1"/>
  <c r="U377" i="1"/>
  <c r="D377" i="1"/>
  <c r="B377" i="1"/>
  <c r="N376" i="1"/>
  <c r="U376" i="1" s="1"/>
  <c r="D376" i="1"/>
  <c r="B376" i="1"/>
  <c r="U375" i="1"/>
  <c r="D375" i="1"/>
  <c r="B375" i="1"/>
  <c r="N374" i="1"/>
  <c r="U374" i="1" s="1"/>
  <c r="D374" i="1"/>
  <c r="B374" i="1"/>
  <c r="U373" i="1"/>
  <c r="D373" i="1"/>
  <c r="B373" i="1"/>
  <c r="N372" i="1"/>
  <c r="U372" i="1" s="1"/>
  <c r="D372" i="1"/>
  <c r="B372" i="1"/>
  <c r="U371" i="1"/>
  <c r="D371" i="1"/>
  <c r="B371" i="1"/>
  <c r="U370" i="1"/>
  <c r="D370" i="1"/>
  <c r="B370" i="1"/>
  <c r="U369" i="1"/>
  <c r="D369" i="1"/>
  <c r="B369" i="1"/>
  <c r="U368" i="1"/>
  <c r="D368" i="1"/>
  <c r="B368" i="1"/>
  <c r="N367" i="1"/>
  <c r="U367" i="1" s="1"/>
  <c r="D367" i="1"/>
  <c r="B367" i="1"/>
  <c r="U366" i="1"/>
  <c r="D366" i="1"/>
  <c r="B366" i="1"/>
  <c r="N365" i="1"/>
  <c r="U365" i="1" s="1"/>
  <c r="D365" i="1"/>
  <c r="B365" i="1"/>
  <c r="U364" i="1"/>
  <c r="D364" i="1"/>
  <c r="B364" i="1"/>
  <c r="U363" i="1"/>
  <c r="N363" i="1"/>
  <c r="D363" i="1"/>
  <c r="B363" i="1"/>
  <c r="U362" i="1"/>
  <c r="D362" i="1"/>
  <c r="B362" i="1"/>
  <c r="U361" i="1"/>
  <c r="D361" i="1"/>
  <c r="B361" i="1"/>
  <c r="N360" i="1"/>
  <c r="U360" i="1" s="1"/>
  <c r="D360" i="1"/>
  <c r="B360" i="1"/>
  <c r="N359" i="1"/>
  <c r="U359" i="1" s="1"/>
  <c r="D359" i="1"/>
  <c r="B359" i="1"/>
  <c r="N358" i="1"/>
  <c r="U358" i="1" s="1"/>
  <c r="D358" i="1"/>
  <c r="B358" i="1"/>
  <c r="N357" i="1"/>
  <c r="U357" i="1" s="1"/>
  <c r="D357" i="1"/>
  <c r="B357" i="1"/>
  <c r="N356" i="1"/>
  <c r="U356" i="1" s="1"/>
  <c r="D356" i="1"/>
  <c r="B356" i="1"/>
  <c r="D355" i="1"/>
  <c r="B355" i="1"/>
  <c r="D354" i="1"/>
  <c r="B354" i="1"/>
  <c r="U353" i="1"/>
  <c r="D353" i="1"/>
  <c r="B353" i="1"/>
  <c r="U352" i="1"/>
  <c r="D352" i="1"/>
  <c r="B352" i="1"/>
  <c r="U351" i="1"/>
  <c r="N351" i="1"/>
  <c r="D351" i="1"/>
  <c r="B351" i="1"/>
  <c r="U350" i="1"/>
  <c r="N350" i="1"/>
  <c r="D350" i="1"/>
  <c r="B350" i="1"/>
  <c r="U349" i="1"/>
  <c r="N349" i="1"/>
  <c r="D349" i="1"/>
  <c r="B349" i="1"/>
  <c r="U348" i="1"/>
  <c r="N348" i="1"/>
  <c r="D348" i="1"/>
  <c r="B348" i="1"/>
  <c r="U347" i="1"/>
  <c r="D347" i="1"/>
  <c r="B347" i="1"/>
  <c r="N346" i="1"/>
  <c r="U346" i="1" s="1"/>
  <c r="D346" i="1"/>
  <c r="B346" i="1"/>
  <c r="N345" i="1"/>
  <c r="U345" i="1" s="1"/>
  <c r="D345" i="1"/>
  <c r="B345" i="1"/>
  <c r="N344" i="1"/>
  <c r="U344" i="1" s="1"/>
  <c r="D344" i="1"/>
  <c r="B344" i="1"/>
  <c r="U343" i="1"/>
  <c r="D343" i="1"/>
  <c r="B343" i="1"/>
  <c r="U342" i="1"/>
  <c r="N342" i="1"/>
  <c r="D342" i="1"/>
  <c r="B342" i="1"/>
  <c r="U341" i="1"/>
  <c r="N341" i="1"/>
  <c r="D341" i="1"/>
  <c r="B341" i="1"/>
  <c r="U340" i="1"/>
  <c r="D340" i="1"/>
  <c r="B340" i="1"/>
  <c r="U339" i="1"/>
  <c r="D339" i="1"/>
  <c r="B339" i="1"/>
  <c r="U338" i="1"/>
  <c r="D338" i="1"/>
  <c r="B338" i="1"/>
  <c r="U337" i="1"/>
  <c r="D337" i="1"/>
  <c r="B337" i="1"/>
  <c r="U336" i="1"/>
  <c r="D336" i="1"/>
  <c r="B336" i="1"/>
  <c r="N335" i="1"/>
  <c r="U335" i="1" s="1"/>
  <c r="D335" i="1"/>
  <c r="B335" i="1"/>
  <c r="N334" i="1"/>
  <c r="U334" i="1" s="1"/>
  <c r="D334" i="1"/>
  <c r="B334" i="1"/>
  <c r="N333" i="1"/>
  <c r="U333" i="1" s="1"/>
  <c r="D333" i="1"/>
  <c r="B333" i="1"/>
  <c r="N332" i="1"/>
  <c r="U332" i="1" s="1"/>
  <c r="D332" i="1"/>
  <c r="B332" i="1"/>
  <c r="N331" i="1"/>
  <c r="U331" i="1" s="1"/>
  <c r="D331" i="1"/>
  <c r="B331" i="1"/>
  <c r="N330" i="1"/>
  <c r="U330" i="1" s="1"/>
  <c r="D330" i="1"/>
  <c r="B330" i="1"/>
  <c r="N329" i="1"/>
  <c r="U329" i="1" s="1"/>
  <c r="D329" i="1"/>
  <c r="B329" i="1"/>
  <c r="N328" i="1"/>
  <c r="U328" i="1" s="1"/>
  <c r="D328" i="1"/>
  <c r="B328" i="1"/>
  <c r="N327" i="1"/>
  <c r="U327" i="1" s="1"/>
  <c r="D327" i="1"/>
  <c r="B327" i="1"/>
  <c r="N326" i="1"/>
  <c r="U326" i="1" s="1"/>
  <c r="D326" i="1"/>
  <c r="B326" i="1"/>
  <c r="N325" i="1"/>
  <c r="U325" i="1" s="1"/>
  <c r="D325" i="1"/>
  <c r="B325" i="1"/>
  <c r="N324" i="1"/>
  <c r="U324" i="1" s="1"/>
  <c r="D324" i="1"/>
  <c r="B324" i="1"/>
  <c r="N323" i="1"/>
  <c r="U323" i="1" s="1"/>
  <c r="D323" i="1"/>
  <c r="B323" i="1"/>
  <c r="U322" i="1"/>
  <c r="D322" i="1"/>
  <c r="B322" i="1"/>
  <c r="U321" i="1"/>
  <c r="D321" i="1"/>
  <c r="B321" i="1"/>
  <c r="N320" i="1"/>
  <c r="U320" i="1" s="1"/>
  <c r="D320" i="1"/>
  <c r="B320" i="1"/>
  <c r="U319" i="1"/>
  <c r="D319" i="1"/>
  <c r="B319" i="1"/>
  <c r="U318" i="1"/>
  <c r="D318" i="1"/>
  <c r="B318" i="1"/>
  <c r="U317" i="1"/>
  <c r="D317" i="1"/>
  <c r="B317" i="1"/>
  <c r="U316" i="1"/>
  <c r="D316" i="1"/>
  <c r="B316" i="1"/>
  <c r="U315" i="1"/>
  <c r="D315" i="1"/>
  <c r="B315" i="1"/>
  <c r="U314" i="1"/>
  <c r="D314" i="1"/>
  <c r="B314" i="1"/>
  <c r="U313" i="1"/>
  <c r="D313" i="1"/>
  <c r="B313" i="1"/>
  <c r="U312" i="1"/>
  <c r="D312" i="1"/>
  <c r="B312" i="1"/>
  <c r="U311" i="1"/>
  <c r="D311" i="1"/>
  <c r="B311" i="1"/>
  <c r="U310" i="1"/>
  <c r="D310" i="1"/>
  <c r="B310" i="1"/>
  <c r="U309" i="1"/>
  <c r="D309" i="1"/>
  <c r="B309" i="1"/>
  <c r="U308" i="1"/>
  <c r="D308" i="1"/>
  <c r="B308" i="1"/>
  <c r="U307" i="1"/>
  <c r="D307" i="1"/>
  <c r="B307" i="1"/>
  <c r="U306" i="1"/>
  <c r="D306" i="1"/>
  <c r="B306" i="1"/>
  <c r="U305" i="1"/>
  <c r="D305" i="1"/>
  <c r="B305" i="1"/>
  <c r="U304" i="1"/>
  <c r="N304" i="1"/>
  <c r="D304" i="1"/>
  <c r="B304" i="1"/>
  <c r="U303" i="1"/>
  <c r="N303" i="1"/>
  <c r="D303" i="1"/>
  <c r="B303" i="1"/>
  <c r="U302" i="1"/>
  <c r="N302" i="1"/>
  <c r="D302" i="1"/>
  <c r="B302" i="1"/>
  <c r="U301" i="1"/>
  <c r="N301" i="1"/>
  <c r="D301" i="1"/>
  <c r="B301" i="1"/>
  <c r="U300" i="1"/>
  <c r="N300" i="1"/>
  <c r="D300" i="1"/>
  <c r="B300" i="1"/>
  <c r="U299" i="1"/>
  <c r="N299" i="1"/>
  <c r="D299" i="1"/>
  <c r="B299" i="1"/>
  <c r="U298" i="1"/>
  <c r="N298" i="1"/>
  <c r="D298" i="1"/>
  <c r="B298" i="1"/>
  <c r="U297" i="1"/>
  <c r="N297" i="1"/>
  <c r="D297" i="1"/>
  <c r="B297" i="1"/>
  <c r="U296" i="1"/>
  <c r="N296" i="1"/>
  <c r="D296" i="1"/>
  <c r="B296" i="1"/>
  <c r="U295" i="1"/>
  <c r="N295" i="1"/>
  <c r="D295" i="1"/>
  <c r="B295" i="1"/>
  <c r="U294" i="1"/>
  <c r="N294" i="1"/>
  <c r="D294" i="1"/>
  <c r="B294" i="1"/>
  <c r="U293" i="1"/>
  <c r="N293" i="1"/>
  <c r="D293" i="1"/>
  <c r="B293" i="1"/>
  <c r="U292" i="1"/>
  <c r="D292" i="1"/>
  <c r="B292" i="1"/>
  <c r="U291" i="1"/>
  <c r="D291" i="1"/>
  <c r="B291" i="1"/>
  <c r="U290" i="1"/>
  <c r="D290" i="1"/>
  <c r="B290" i="1"/>
  <c r="N289" i="1"/>
  <c r="U289" i="1" s="1"/>
  <c r="D289" i="1"/>
  <c r="B289" i="1"/>
  <c r="U288" i="1"/>
  <c r="D288" i="1"/>
  <c r="B288" i="1"/>
  <c r="U287" i="1"/>
  <c r="N287" i="1"/>
  <c r="D287" i="1"/>
  <c r="B287" i="1"/>
  <c r="U286" i="1"/>
  <c r="D286" i="1"/>
  <c r="B286" i="1"/>
  <c r="U285" i="1"/>
  <c r="D285" i="1"/>
  <c r="B285" i="1"/>
  <c r="U284" i="1"/>
  <c r="D284" i="1"/>
  <c r="B284" i="1"/>
  <c r="U283" i="1"/>
  <c r="D283" i="1"/>
  <c r="B283" i="1"/>
  <c r="U282" i="1"/>
  <c r="D282" i="1"/>
  <c r="B282" i="1"/>
  <c r="U281" i="1"/>
  <c r="D281" i="1"/>
  <c r="B281" i="1"/>
  <c r="U280" i="1"/>
  <c r="D280" i="1"/>
  <c r="B280" i="1"/>
  <c r="U279" i="1"/>
  <c r="D279" i="1"/>
  <c r="B279" i="1"/>
  <c r="U278" i="1"/>
  <c r="D278" i="1"/>
  <c r="B278" i="1"/>
  <c r="U277" i="1"/>
  <c r="D277" i="1"/>
  <c r="B277" i="1"/>
  <c r="U276" i="1"/>
  <c r="D276" i="1"/>
  <c r="B276" i="1"/>
  <c r="U275" i="1"/>
  <c r="D275" i="1"/>
  <c r="B275" i="1"/>
  <c r="U274" i="1"/>
  <c r="N274" i="1"/>
  <c r="D274" i="1"/>
  <c r="B274" i="1"/>
  <c r="U273" i="1"/>
  <c r="N273" i="1"/>
  <c r="D273" i="1"/>
  <c r="B273" i="1"/>
  <c r="U272" i="1"/>
  <c r="N272" i="1"/>
  <c r="D272" i="1"/>
  <c r="B272" i="1"/>
  <c r="U271" i="1"/>
  <c r="N271" i="1"/>
  <c r="D271" i="1"/>
  <c r="B271" i="1"/>
  <c r="U270" i="1"/>
  <c r="N270" i="1"/>
  <c r="D270" i="1"/>
  <c r="B270" i="1"/>
  <c r="U269" i="1"/>
  <c r="N269" i="1"/>
  <c r="D269" i="1"/>
  <c r="B269" i="1"/>
  <c r="U268" i="1"/>
  <c r="N268" i="1"/>
  <c r="D268" i="1"/>
  <c r="B268" i="1"/>
  <c r="U267" i="1"/>
  <c r="N267" i="1"/>
  <c r="D267" i="1"/>
  <c r="B267" i="1"/>
  <c r="U266" i="1"/>
  <c r="N266" i="1"/>
  <c r="D266" i="1"/>
  <c r="B266" i="1"/>
  <c r="U265" i="1"/>
  <c r="N265" i="1"/>
  <c r="D265" i="1"/>
  <c r="B265" i="1"/>
  <c r="U264" i="1"/>
  <c r="N264" i="1"/>
  <c r="D264" i="1"/>
  <c r="B264" i="1"/>
  <c r="U263" i="1"/>
  <c r="N263" i="1"/>
  <c r="D263" i="1"/>
  <c r="B263" i="1"/>
  <c r="U262" i="1"/>
  <c r="D262" i="1"/>
  <c r="B262" i="1"/>
  <c r="U261" i="1"/>
  <c r="D261" i="1"/>
  <c r="B261" i="1"/>
  <c r="U260" i="1"/>
  <c r="D260" i="1"/>
  <c r="B260" i="1"/>
  <c r="U259" i="1"/>
  <c r="D259" i="1"/>
  <c r="B259" i="1"/>
  <c r="U258" i="1"/>
  <c r="D258" i="1"/>
  <c r="B258" i="1"/>
  <c r="U257" i="1"/>
  <c r="D257" i="1"/>
  <c r="B257" i="1"/>
  <c r="N256" i="1"/>
  <c r="U256" i="1" s="1"/>
  <c r="D256" i="1"/>
  <c r="B256" i="1"/>
  <c r="N255" i="1"/>
  <c r="U255" i="1" s="1"/>
  <c r="D255" i="1"/>
  <c r="B255" i="1"/>
  <c r="N254" i="1"/>
  <c r="U254" i="1" s="1"/>
  <c r="D254" i="1"/>
  <c r="B254" i="1"/>
  <c r="N253" i="1"/>
  <c r="U253" i="1" s="1"/>
  <c r="D253" i="1"/>
  <c r="B253" i="1"/>
  <c r="N252" i="1"/>
  <c r="U252" i="1" s="1"/>
  <c r="D252" i="1"/>
  <c r="B252" i="1"/>
  <c r="N251" i="1"/>
  <c r="U251" i="1" s="1"/>
  <c r="D251" i="1"/>
  <c r="B251" i="1"/>
  <c r="N250" i="1"/>
  <c r="U250" i="1" s="1"/>
  <c r="D250" i="1"/>
  <c r="B250" i="1"/>
  <c r="U249" i="1"/>
  <c r="D249" i="1"/>
  <c r="B249" i="1"/>
  <c r="U248" i="1"/>
  <c r="D248" i="1"/>
  <c r="B248" i="1"/>
  <c r="U247" i="1"/>
  <c r="D247" i="1"/>
  <c r="B247" i="1"/>
  <c r="U246" i="1"/>
  <c r="D246" i="1"/>
  <c r="B246" i="1"/>
  <c r="U245" i="1"/>
  <c r="D245" i="1"/>
  <c r="B245" i="1"/>
  <c r="N244" i="1"/>
  <c r="U244" i="1" s="1"/>
  <c r="D244" i="1"/>
  <c r="B244" i="1"/>
  <c r="N243" i="1"/>
  <c r="U243" i="1" s="1"/>
  <c r="D243" i="1"/>
  <c r="B243" i="1"/>
  <c r="U242" i="1"/>
  <c r="N242" i="1"/>
  <c r="D242" i="1"/>
  <c r="B242" i="1"/>
  <c r="N241" i="1"/>
  <c r="U241" i="1" s="1"/>
  <c r="D241" i="1"/>
  <c r="B241" i="1"/>
  <c r="U240" i="1"/>
  <c r="N240" i="1"/>
  <c r="D240" i="1"/>
  <c r="B240" i="1"/>
  <c r="N239" i="1"/>
  <c r="U239" i="1" s="1"/>
  <c r="D239" i="1"/>
  <c r="B239" i="1"/>
  <c r="N238" i="1"/>
  <c r="U238" i="1" s="1"/>
  <c r="D238" i="1"/>
  <c r="B238" i="1"/>
  <c r="N237" i="1"/>
  <c r="U237" i="1" s="1"/>
  <c r="D237" i="1"/>
  <c r="B237" i="1"/>
  <c r="N236" i="1"/>
  <c r="U236" i="1" s="1"/>
  <c r="D236" i="1"/>
  <c r="B236" i="1"/>
  <c r="N235" i="1"/>
  <c r="U235" i="1" s="1"/>
  <c r="D235" i="1"/>
  <c r="B235" i="1"/>
  <c r="U234" i="1"/>
  <c r="N234" i="1"/>
  <c r="D234" i="1"/>
  <c r="B234" i="1"/>
  <c r="N233" i="1"/>
  <c r="U233" i="1" s="1"/>
  <c r="D233" i="1"/>
  <c r="B233" i="1"/>
  <c r="U232" i="1"/>
  <c r="N232" i="1"/>
  <c r="D232" i="1"/>
  <c r="B232" i="1"/>
  <c r="N231" i="1"/>
  <c r="U231" i="1" s="1"/>
  <c r="D231" i="1"/>
  <c r="B231" i="1"/>
  <c r="N230" i="1"/>
  <c r="U230" i="1" s="1"/>
  <c r="D230" i="1"/>
  <c r="B230" i="1"/>
  <c r="N229" i="1"/>
  <c r="U229" i="1" s="1"/>
  <c r="D229" i="1"/>
  <c r="B229" i="1"/>
  <c r="N228" i="1"/>
  <c r="U228" i="1" s="1"/>
  <c r="D228" i="1"/>
  <c r="B228" i="1"/>
  <c r="N227" i="1"/>
  <c r="U227" i="1" s="1"/>
  <c r="D227" i="1"/>
  <c r="B227" i="1"/>
  <c r="U226" i="1"/>
  <c r="N226" i="1"/>
  <c r="D226" i="1"/>
  <c r="B226" i="1"/>
  <c r="N225" i="1"/>
  <c r="U225" i="1" s="1"/>
  <c r="D225" i="1"/>
  <c r="B225" i="1"/>
  <c r="U224" i="1"/>
  <c r="N224" i="1"/>
  <c r="D224" i="1"/>
  <c r="B224" i="1"/>
  <c r="N223" i="1"/>
  <c r="U223" i="1" s="1"/>
  <c r="D223" i="1"/>
  <c r="B223" i="1"/>
  <c r="N222" i="1"/>
  <c r="U222" i="1" s="1"/>
  <c r="D222" i="1"/>
  <c r="B222" i="1"/>
  <c r="N221" i="1"/>
  <c r="U221" i="1" s="1"/>
  <c r="D221" i="1"/>
  <c r="B221" i="1"/>
  <c r="N220" i="1"/>
  <c r="U220" i="1" s="1"/>
  <c r="D220" i="1"/>
  <c r="B220" i="1"/>
  <c r="N219" i="1"/>
  <c r="U219" i="1" s="1"/>
  <c r="D219" i="1"/>
  <c r="B219" i="1"/>
  <c r="U218" i="1"/>
  <c r="N218" i="1"/>
  <c r="D218" i="1"/>
  <c r="B218" i="1"/>
  <c r="N217" i="1"/>
  <c r="U217" i="1" s="1"/>
  <c r="D217" i="1"/>
  <c r="B217" i="1"/>
  <c r="U216" i="1"/>
  <c r="N216" i="1"/>
  <c r="D216" i="1"/>
  <c r="B216" i="1"/>
  <c r="N215" i="1"/>
  <c r="U215" i="1" s="1"/>
  <c r="D215" i="1"/>
  <c r="B215" i="1"/>
  <c r="N214" i="1"/>
  <c r="U214" i="1" s="1"/>
  <c r="D214" i="1"/>
  <c r="B214" i="1"/>
  <c r="N213" i="1"/>
  <c r="U213" i="1" s="1"/>
  <c r="D213" i="1"/>
  <c r="B213" i="1"/>
  <c r="N212" i="1"/>
  <c r="U212" i="1" s="1"/>
  <c r="D212" i="1"/>
  <c r="B212" i="1"/>
  <c r="N211" i="1"/>
  <c r="U211" i="1" s="1"/>
  <c r="D211" i="1"/>
  <c r="B211" i="1"/>
  <c r="U210" i="1"/>
  <c r="N210" i="1"/>
  <c r="D210" i="1"/>
  <c r="B210" i="1"/>
  <c r="N209" i="1"/>
  <c r="U209" i="1" s="1"/>
  <c r="D209" i="1"/>
  <c r="B209" i="1"/>
  <c r="U208" i="1"/>
  <c r="N208" i="1"/>
  <c r="D208" i="1"/>
  <c r="B208" i="1"/>
  <c r="N207" i="1"/>
  <c r="U207" i="1" s="1"/>
  <c r="D207" i="1"/>
  <c r="B207" i="1"/>
  <c r="N206" i="1"/>
  <c r="U206" i="1" s="1"/>
  <c r="D206" i="1"/>
  <c r="B206" i="1"/>
  <c r="N205" i="1"/>
  <c r="U205" i="1" s="1"/>
  <c r="D205" i="1"/>
  <c r="B205" i="1"/>
  <c r="N204" i="1"/>
  <c r="U204" i="1" s="1"/>
  <c r="D204" i="1"/>
  <c r="B204" i="1"/>
  <c r="N203" i="1"/>
  <c r="U203" i="1" s="1"/>
  <c r="D203" i="1"/>
  <c r="B203" i="1"/>
  <c r="U202" i="1"/>
  <c r="N202" i="1"/>
  <c r="D202" i="1"/>
  <c r="B202" i="1"/>
  <c r="N201" i="1"/>
  <c r="U201" i="1" s="1"/>
  <c r="D201" i="1"/>
  <c r="B201" i="1"/>
  <c r="U200" i="1"/>
  <c r="N200" i="1"/>
  <c r="D200" i="1"/>
  <c r="B200" i="1"/>
  <c r="N199" i="1"/>
  <c r="U199" i="1" s="1"/>
  <c r="D199" i="1"/>
  <c r="B199" i="1"/>
  <c r="N198" i="1"/>
  <c r="U198" i="1" s="1"/>
  <c r="D198" i="1"/>
  <c r="B198" i="1"/>
  <c r="N197" i="1"/>
  <c r="U197" i="1" s="1"/>
  <c r="D197" i="1"/>
  <c r="B197" i="1"/>
  <c r="N196" i="1"/>
  <c r="U196" i="1" s="1"/>
  <c r="D196" i="1"/>
  <c r="B196" i="1"/>
  <c r="N195" i="1"/>
  <c r="U195" i="1" s="1"/>
  <c r="D195" i="1"/>
  <c r="B195" i="1"/>
  <c r="U194" i="1"/>
  <c r="N194" i="1"/>
  <c r="D194" i="1"/>
  <c r="B194" i="1"/>
  <c r="N193" i="1"/>
  <c r="U193" i="1" s="1"/>
  <c r="D193" i="1"/>
  <c r="B193" i="1"/>
  <c r="U192" i="1"/>
  <c r="N192" i="1"/>
  <c r="D192" i="1"/>
  <c r="B192" i="1"/>
  <c r="N191" i="1"/>
  <c r="U191" i="1" s="1"/>
  <c r="D191" i="1"/>
  <c r="B191" i="1"/>
  <c r="N190" i="1"/>
  <c r="U190" i="1" s="1"/>
  <c r="D190" i="1"/>
  <c r="B190" i="1"/>
  <c r="N189" i="1"/>
  <c r="U189" i="1" s="1"/>
  <c r="D189" i="1"/>
  <c r="B189" i="1"/>
  <c r="N188" i="1"/>
  <c r="U188" i="1" s="1"/>
  <c r="D188" i="1"/>
  <c r="B188" i="1"/>
  <c r="N187" i="1"/>
  <c r="U187" i="1" s="1"/>
  <c r="D187" i="1"/>
  <c r="B187" i="1"/>
  <c r="U186" i="1"/>
  <c r="N186" i="1"/>
  <c r="D186" i="1"/>
  <c r="B186" i="1"/>
  <c r="N185" i="1"/>
  <c r="U185" i="1" s="1"/>
  <c r="D185" i="1"/>
  <c r="B185" i="1"/>
  <c r="U184" i="1"/>
  <c r="N184" i="1"/>
  <c r="D184" i="1"/>
  <c r="B184" i="1"/>
  <c r="N183" i="1"/>
  <c r="U183" i="1" s="1"/>
  <c r="D183" i="1"/>
  <c r="B183" i="1"/>
  <c r="N182" i="1"/>
  <c r="U182" i="1" s="1"/>
  <c r="D182" i="1"/>
  <c r="B182" i="1"/>
  <c r="N181" i="1"/>
  <c r="U181" i="1" s="1"/>
  <c r="D181" i="1"/>
  <c r="B181" i="1"/>
  <c r="N180" i="1"/>
  <c r="U180" i="1" s="1"/>
  <c r="D180" i="1"/>
  <c r="B180" i="1"/>
  <c r="N179" i="1"/>
  <c r="U179" i="1" s="1"/>
  <c r="D179" i="1"/>
  <c r="B179" i="1"/>
  <c r="U178" i="1"/>
  <c r="N178" i="1"/>
  <c r="D178" i="1"/>
  <c r="B178" i="1"/>
  <c r="N177" i="1"/>
  <c r="U177" i="1" s="1"/>
  <c r="D177" i="1"/>
  <c r="B177" i="1"/>
  <c r="U176" i="1"/>
  <c r="N176" i="1"/>
  <c r="D176" i="1"/>
  <c r="B176" i="1"/>
  <c r="N175" i="1"/>
  <c r="U175" i="1" s="1"/>
  <c r="D175" i="1"/>
  <c r="B175" i="1"/>
  <c r="N174" i="1"/>
  <c r="U174" i="1" s="1"/>
  <c r="D174" i="1"/>
  <c r="B174" i="1"/>
  <c r="N173" i="1"/>
  <c r="U173" i="1" s="1"/>
  <c r="D173" i="1"/>
  <c r="B173" i="1"/>
  <c r="N172" i="1"/>
  <c r="U172" i="1" s="1"/>
  <c r="D172" i="1"/>
  <c r="B172" i="1"/>
  <c r="N171" i="1"/>
  <c r="U171" i="1" s="1"/>
  <c r="D171" i="1"/>
  <c r="B171" i="1"/>
  <c r="U170" i="1"/>
  <c r="N170" i="1"/>
  <c r="D170" i="1"/>
  <c r="B170" i="1"/>
  <c r="N169" i="1"/>
  <c r="U169" i="1" s="1"/>
  <c r="D169" i="1"/>
  <c r="B169" i="1"/>
  <c r="U168" i="1"/>
  <c r="N168" i="1"/>
  <c r="D168" i="1"/>
  <c r="B168" i="1"/>
  <c r="N167" i="1"/>
  <c r="U167" i="1" s="1"/>
  <c r="D167" i="1"/>
  <c r="B167" i="1"/>
  <c r="N166" i="1"/>
  <c r="U166" i="1" s="1"/>
  <c r="D166" i="1"/>
  <c r="B166" i="1"/>
  <c r="N165" i="1"/>
  <c r="U165" i="1" s="1"/>
  <c r="D165" i="1"/>
  <c r="B165" i="1"/>
  <c r="N164" i="1"/>
  <c r="U164" i="1" s="1"/>
  <c r="D164" i="1"/>
  <c r="B164" i="1"/>
  <c r="N163" i="1"/>
  <c r="U163" i="1" s="1"/>
  <c r="D163" i="1"/>
  <c r="B163" i="1"/>
  <c r="U162" i="1"/>
  <c r="N162" i="1"/>
  <c r="D162" i="1"/>
  <c r="B162" i="1"/>
  <c r="N161" i="1"/>
  <c r="U161" i="1" s="1"/>
  <c r="D161" i="1"/>
  <c r="B161" i="1"/>
  <c r="U160" i="1"/>
  <c r="N160" i="1"/>
  <c r="D160" i="1"/>
  <c r="B160" i="1"/>
  <c r="N159" i="1"/>
  <c r="U159" i="1" s="1"/>
  <c r="D159" i="1"/>
  <c r="B159" i="1"/>
  <c r="N158" i="1"/>
  <c r="U158" i="1" s="1"/>
  <c r="D158" i="1"/>
  <c r="B158" i="1"/>
  <c r="N157" i="1"/>
  <c r="U157" i="1" s="1"/>
  <c r="D157" i="1"/>
  <c r="B157" i="1"/>
  <c r="U156" i="1"/>
  <c r="D156" i="1"/>
  <c r="B156" i="1"/>
  <c r="U155" i="1"/>
  <c r="N155" i="1"/>
  <c r="D155" i="1"/>
  <c r="B155" i="1"/>
  <c r="U154" i="1"/>
  <c r="N154" i="1"/>
  <c r="D154" i="1"/>
  <c r="B154" i="1"/>
  <c r="U153" i="1"/>
  <c r="N153" i="1"/>
  <c r="D153" i="1"/>
  <c r="B153" i="1"/>
  <c r="U152" i="1"/>
  <c r="N152" i="1"/>
  <c r="D152" i="1"/>
  <c r="B152" i="1"/>
  <c r="U151" i="1"/>
  <c r="D151" i="1"/>
  <c r="B151" i="1"/>
  <c r="U150" i="1"/>
  <c r="D150" i="1"/>
  <c r="B150" i="1"/>
  <c r="N149" i="1"/>
  <c r="U149" i="1" s="1"/>
  <c r="D149" i="1"/>
  <c r="B149" i="1"/>
  <c r="N148" i="1"/>
  <c r="U148" i="1" s="1"/>
  <c r="D148" i="1"/>
  <c r="B148" i="1"/>
  <c r="N147" i="1"/>
  <c r="U147" i="1" s="1"/>
  <c r="D147" i="1"/>
  <c r="B147" i="1"/>
  <c r="U146" i="1"/>
  <c r="N146" i="1"/>
  <c r="D146" i="1"/>
  <c r="B146" i="1"/>
  <c r="N145" i="1"/>
  <c r="U145" i="1" s="1"/>
  <c r="D145" i="1"/>
  <c r="B145" i="1"/>
  <c r="U144" i="1"/>
  <c r="N144" i="1"/>
  <c r="D144" i="1"/>
  <c r="B144" i="1"/>
  <c r="N143" i="1"/>
  <c r="U143" i="1" s="1"/>
  <c r="D143" i="1"/>
  <c r="B143" i="1"/>
  <c r="N142" i="1"/>
  <c r="U142" i="1" s="1"/>
  <c r="D142" i="1"/>
  <c r="B142" i="1"/>
  <c r="N141" i="1"/>
  <c r="U141" i="1" s="1"/>
  <c r="D141" i="1"/>
  <c r="B141" i="1"/>
  <c r="N140" i="1"/>
  <c r="U140" i="1" s="1"/>
  <c r="D140" i="1"/>
  <c r="B140" i="1"/>
  <c r="N139" i="1"/>
  <c r="U139" i="1" s="1"/>
  <c r="D139" i="1"/>
  <c r="B139" i="1"/>
  <c r="U138" i="1"/>
  <c r="N138" i="1"/>
  <c r="D138" i="1"/>
  <c r="B138" i="1"/>
  <c r="N137" i="1"/>
  <c r="U137" i="1" s="1"/>
  <c r="D137" i="1"/>
  <c r="B137" i="1"/>
  <c r="U136" i="1"/>
  <c r="D136" i="1"/>
  <c r="B136" i="1"/>
  <c r="U135" i="1"/>
  <c r="D135" i="1"/>
  <c r="B135" i="1"/>
  <c r="U134" i="1"/>
  <c r="D134" i="1"/>
  <c r="B134" i="1"/>
  <c r="U133" i="1"/>
  <c r="D133" i="1"/>
  <c r="B133" i="1"/>
  <c r="N132" i="1"/>
  <c r="U132" i="1" s="1"/>
  <c r="D132" i="1"/>
  <c r="B132" i="1"/>
  <c r="N131" i="1"/>
  <c r="U131" i="1" s="1"/>
  <c r="D131" i="1"/>
  <c r="B131" i="1"/>
  <c r="N130" i="1"/>
  <c r="U130" i="1" s="1"/>
  <c r="D130" i="1"/>
  <c r="B130" i="1"/>
  <c r="N129" i="1"/>
  <c r="U129" i="1" s="1"/>
  <c r="D129" i="1"/>
  <c r="B129" i="1"/>
  <c r="N128" i="1"/>
  <c r="U128" i="1" s="1"/>
  <c r="D128" i="1"/>
  <c r="B128" i="1"/>
  <c r="U127" i="1"/>
  <c r="N127" i="1"/>
  <c r="D127" i="1"/>
  <c r="B127" i="1"/>
  <c r="N126" i="1"/>
  <c r="U126" i="1" s="1"/>
  <c r="D126" i="1"/>
  <c r="B126" i="1"/>
  <c r="U125" i="1"/>
  <c r="D125" i="1"/>
  <c r="B125" i="1"/>
  <c r="N124" i="1"/>
  <c r="U124" i="1" s="1"/>
  <c r="D124" i="1"/>
  <c r="B124" i="1"/>
  <c r="U123" i="1"/>
  <c r="D123" i="1"/>
  <c r="B123" i="1"/>
  <c r="U122" i="1"/>
  <c r="N122" i="1"/>
  <c r="D122" i="1"/>
  <c r="B122" i="1"/>
  <c r="U121" i="1"/>
  <c r="N121" i="1"/>
  <c r="D121" i="1"/>
  <c r="B121" i="1"/>
  <c r="U120" i="1"/>
  <c r="N120" i="1"/>
  <c r="D120" i="1"/>
  <c r="B120" i="1"/>
  <c r="U119" i="1"/>
  <c r="N119" i="1"/>
  <c r="D119" i="1"/>
  <c r="B119" i="1"/>
  <c r="U118" i="1"/>
  <c r="N118" i="1"/>
  <c r="D118" i="1"/>
  <c r="B118" i="1"/>
  <c r="U117" i="1"/>
  <c r="N117" i="1"/>
  <c r="D117" i="1"/>
  <c r="B117" i="1"/>
  <c r="U116" i="1"/>
  <c r="N116" i="1"/>
  <c r="D116" i="1"/>
  <c r="B116" i="1"/>
  <c r="U115" i="1"/>
  <c r="N115" i="1"/>
  <c r="D115" i="1"/>
  <c r="B115" i="1"/>
  <c r="U114" i="1"/>
  <c r="N114" i="1"/>
  <c r="D114" i="1"/>
  <c r="B114" i="1"/>
  <c r="U113" i="1"/>
  <c r="N113" i="1"/>
  <c r="D113" i="1"/>
  <c r="B113" i="1"/>
  <c r="U112" i="1"/>
  <c r="N112" i="1"/>
  <c r="D112" i="1"/>
  <c r="B112" i="1"/>
  <c r="U111" i="1"/>
  <c r="N111" i="1"/>
  <c r="D111" i="1"/>
  <c r="B111" i="1"/>
  <c r="U110" i="1"/>
  <c r="N110" i="1"/>
  <c r="D110" i="1"/>
  <c r="B110" i="1"/>
  <c r="U109" i="1"/>
  <c r="N109" i="1"/>
  <c r="D109" i="1"/>
  <c r="B109" i="1"/>
  <c r="U108" i="1"/>
  <c r="N108" i="1"/>
  <c r="D108" i="1"/>
  <c r="B108" i="1"/>
  <c r="U107" i="1"/>
  <c r="N107" i="1"/>
  <c r="D107" i="1"/>
  <c r="B107" i="1"/>
  <c r="U106" i="1"/>
  <c r="N106" i="1"/>
  <c r="D106" i="1"/>
  <c r="B106" i="1"/>
  <c r="U105" i="1"/>
  <c r="N105" i="1"/>
  <c r="D105" i="1"/>
  <c r="B105" i="1"/>
  <c r="U104" i="1"/>
  <c r="N104" i="1"/>
  <c r="D104" i="1"/>
  <c r="B104" i="1"/>
  <c r="U103" i="1"/>
  <c r="N103" i="1"/>
  <c r="D103" i="1"/>
  <c r="B103" i="1"/>
  <c r="U102" i="1"/>
  <c r="N102" i="1"/>
  <c r="D102" i="1"/>
  <c r="B102" i="1"/>
  <c r="U101" i="1"/>
  <c r="N101" i="1"/>
  <c r="D101" i="1"/>
  <c r="B101" i="1"/>
  <c r="U100" i="1"/>
  <c r="N100" i="1"/>
  <c r="D100" i="1"/>
  <c r="B100" i="1"/>
  <c r="U99" i="1"/>
  <c r="N99" i="1"/>
  <c r="D99" i="1"/>
  <c r="B99" i="1"/>
  <c r="U98" i="1"/>
  <c r="N98" i="1"/>
  <c r="D98" i="1"/>
  <c r="B98" i="1"/>
  <c r="U97" i="1"/>
  <c r="N97" i="1"/>
  <c r="D97" i="1"/>
  <c r="B97" i="1"/>
  <c r="U96" i="1"/>
  <c r="N96" i="1"/>
  <c r="D96" i="1"/>
  <c r="B96" i="1"/>
  <c r="U95" i="1"/>
  <c r="N95" i="1"/>
  <c r="D95" i="1"/>
  <c r="B95" i="1"/>
  <c r="U94" i="1"/>
  <c r="N94" i="1"/>
  <c r="D94" i="1"/>
  <c r="B94" i="1"/>
  <c r="U93" i="1"/>
  <c r="N93" i="1"/>
  <c r="D93" i="1"/>
  <c r="B93" i="1"/>
  <c r="U92" i="1"/>
  <c r="N92" i="1"/>
  <c r="D92" i="1"/>
  <c r="B92" i="1"/>
  <c r="U91" i="1"/>
  <c r="N91" i="1"/>
  <c r="D91" i="1"/>
  <c r="B91" i="1"/>
  <c r="U90" i="1"/>
  <c r="N90" i="1"/>
  <c r="D90" i="1"/>
  <c r="B90" i="1"/>
  <c r="U89" i="1"/>
  <c r="N89" i="1"/>
  <c r="D89" i="1"/>
  <c r="B89" i="1"/>
  <c r="U88" i="1"/>
  <c r="N88" i="1"/>
  <c r="D88" i="1"/>
  <c r="B88" i="1"/>
  <c r="U87" i="1"/>
  <c r="N87" i="1"/>
  <c r="D87" i="1"/>
  <c r="B87" i="1"/>
  <c r="U86" i="1"/>
  <c r="N86" i="1"/>
  <c r="D86" i="1"/>
  <c r="B86" i="1"/>
  <c r="U85" i="1"/>
  <c r="N85" i="1"/>
  <c r="D85" i="1"/>
  <c r="B85" i="1"/>
  <c r="U84" i="1"/>
  <c r="N84" i="1"/>
  <c r="D84" i="1"/>
  <c r="B84" i="1"/>
  <c r="U83" i="1"/>
  <c r="N83" i="1"/>
  <c r="D83" i="1"/>
  <c r="B83" i="1"/>
  <c r="U82" i="1"/>
  <c r="N82" i="1"/>
  <c r="D82" i="1"/>
  <c r="B82" i="1"/>
  <c r="U81" i="1"/>
  <c r="N81" i="1"/>
  <c r="D81" i="1"/>
  <c r="B81" i="1"/>
  <c r="U80" i="1"/>
  <c r="N80" i="1"/>
  <c r="D80" i="1"/>
  <c r="B80" i="1"/>
  <c r="U79" i="1"/>
  <c r="N79" i="1"/>
  <c r="D79" i="1"/>
  <c r="B79" i="1"/>
  <c r="U78" i="1"/>
  <c r="N78" i="1"/>
  <c r="D78" i="1"/>
  <c r="B78" i="1"/>
  <c r="U77" i="1"/>
  <c r="N77" i="1"/>
  <c r="D77" i="1"/>
  <c r="B77" i="1"/>
  <c r="U76" i="1"/>
  <c r="N76" i="1"/>
  <c r="D76" i="1"/>
  <c r="B76" i="1"/>
  <c r="U75" i="1"/>
  <c r="N75" i="1"/>
  <c r="D75" i="1"/>
  <c r="B75" i="1"/>
  <c r="U74" i="1"/>
  <c r="N74" i="1"/>
  <c r="D74" i="1"/>
  <c r="B74" i="1"/>
  <c r="U73" i="1"/>
  <c r="N73" i="1"/>
  <c r="D73" i="1"/>
  <c r="B73" i="1"/>
  <c r="U72" i="1"/>
  <c r="N72" i="1"/>
  <c r="D72" i="1"/>
  <c r="B72" i="1"/>
  <c r="U71" i="1"/>
  <c r="N71" i="1"/>
  <c r="D71" i="1"/>
  <c r="B71" i="1"/>
  <c r="U70" i="1"/>
  <c r="N70" i="1"/>
  <c r="D70" i="1"/>
  <c r="B70" i="1"/>
  <c r="U69" i="1"/>
  <c r="N69" i="1"/>
  <c r="D69" i="1"/>
  <c r="B69" i="1"/>
  <c r="U68" i="1"/>
  <c r="D68" i="1"/>
  <c r="B68" i="1"/>
  <c r="U67" i="1"/>
  <c r="D67" i="1"/>
  <c r="B67" i="1"/>
  <c r="N66" i="1"/>
  <c r="U66" i="1" s="1"/>
  <c r="D66" i="1"/>
  <c r="B66" i="1"/>
  <c r="N65" i="1"/>
  <c r="U65" i="1" s="1"/>
  <c r="D65" i="1"/>
  <c r="B65" i="1"/>
  <c r="N64" i="1"/>
  <c r="U64" i="1" s="1"/>
  <c r="D64" i="1"/>
  <c r="B64" i="1"/>
  <c r="N63" i="1"/>
  <c r="U63" i="1" s="1"/>
  <c r="D63" i="1"/>
  <c r="B63" i="1"/>
  <c r="N62" i="1"/>
  <c r="U62" i="1" s="1"/>
  <c r="D62" i="1"/>
  <c r="B62" i="1"/>
  <c r="N61" i="1"/>
  <c r="U61" i="1" s="1"/>
  <c r="D61" i="1"/>
  <c r="B61" i="1"/>
  <c r="U60" i="1"/>
  <c r="N60" i="1"/>
  <c r="D60" i="1"/>
  <c r="B60" i="1"/>
  <c r="N59" i="1"/>
  <c r="U59" i="1" s="1"/>
  <c r="D59" i="1"/>
  <c r="B59" i="1"/>
  <c r="U58" i="1"/>
  <c r="N58" i="1"/>
  <c r="D58" i="1"/>
  <c r="B58" i="1"/>
  <c r="N57" i="1"/>
  <c r="U57" i="1" s="1"/>
  <c r="D57" i="1"/>
  <c r="B57" i="1"/>
  <c r="N56" i="1"/>
  <c r="U56" i="1" s="1"/>
  <c r="D56" i="1"/>
  <c r="B56" i="1"/>
  <c r="N55" i="1"/>
  <c r="U55" i="1" s="1"/>
  <c r="D55" i="1"/>
  <c r="B55" i="1"/>
  <c r="N54" i="1"/>
  <c r="U54" i="1" s="1"/>
  <c r="D54" i="1"/>
  <c r="B54" i="1"/>
  <c r="N53" i="1"/>
  <c r="U53" i="1" s="1"/>
  <c r="D53" i="1"/>
  <c r="B53" i="1"/>
  <c r="U52" i="1"/>
  <c r="N52" i="1"/>
  <c r="D52" i="1"/>
  <c r="B52" i="1"/>
  <c r="N51" i="1"/>
  <c r="U51" i="1" s="1"/>
  <c r="D51" i="1"/>
  <c r="B51" i="1"/>
  <c r="U50" i="1"/>
  <c r="N50" i="1"/>
  <c r="D50" i="1"/>
  <c r="B50" i="1"/>
  <c r="N49" i="1"/>
  <c r="U49" i="1" s="1"/>
  <c r="D49" i="1"/>
  <c r="B49" i="1"/>
  <c r="N48" i="1"/>
  <c r="U48" i="1" s="1"/>
  <c r="D48" i="1"/>
  <c r="B48" i="1"/>
  <c r="N47" i="1"/>
  <c r="U47" i="1" s="1"/>
  <c r="D47" i="1"/>
  <c r="B47" i="1"/>
  <c r="N46" i="1"/>
  <c r="U46" i="1" s="1"/>
  <c r="D46" i="1"/>
  <c r="B46" i="1"/>
  <c r="U45" i="1"/>
  <c r="D45" i="1"/>
  <c r="B45" i="1"/>
  <c r="U44" i="1"/>
  <c r="D44" i="1"/>
  <c r="B44" i="1"/>
  <c r="U43" i="1"/>
  <c r="D43" i="1"/>
  <c r="B43" i="1"/>
  <c r="U42" i="1"/>
  <c r="D42" i="1"/>
  <c r="B42" i="1"/>
  <c r="U41" i="1"/>
  <c r="D41" i="1"/>
  <c r="B41" i="1"/>
  <c r="U40" i="1"/>
  <c r="D40" i="1"/>
  <c r="B40" i="1"/>
  <c r="U39" i="1"/>
  <c r="D39" i="1"/>
  <c r="B39" i="1"/>
  <c r="U38" i="1"/>
  <c r="D38" i="1"/>
  <c r="B38" i="1"/>
  <c r="U37" i="1"/>
  <c r="D37" i="1"/>
  <c r="B37" i="1"/>
  <c r="U36" i="1"/>
  <c r="D36" i="1"/>
  <c r="B36" i="1"/>
  <c r="U35" i="1"/>
  <c r="D35" i="1"/>
  <c r="B35" i="1"/>
  <c r="U34" i="1"/>
  <c r="D34" i="1"/>
  <c r="B34" i="1"/>
  <c r="U33" i="1"/>
  <c r="D33" i="1"/>
  <c r="B33" i="1"/>
  <c r="U32" i="1"/>
  <c r="D32" i="1"/>
  <c r="B32" i="1"/>
  <c r="U31" i="1"/>
  <c r="D31" i="1"/>
  <c r="B31" i="1"/>
  <c r="N30" i="1"/>
  <c r="U30" i="1" s="1"/>
  <c r="D30" i="1"/>
  <c r="B30" i="1"/>
  <c r="N29" i="1"/>
  <c r="U29" i="1" s="1"/>
  <c r="D29" i="1"/>
  <c r="B29" i="1"/>
  <c r="N28" i="1"/>
  <c r="U28" i="1" s="1"/>
  <c r="D28" i="1"/>
  <c r="B28" i="1"/>
  <c r="N27" i="1"/>
  <c r="U27" i="1" s="1"/>
  <c r="D27" i="1"/>
  <c r="B27" i="1"/>
  <c r="N26" i="1"/>
  <c r="U26" i="1" s="1"/>
  <c r="D26" i="1"/>
  <c r="B26" i="1"/>
  <c r="N25" i="1"/>
  <c r="U25" i="1" s="1"/>
  <c r="D25" i="1"/>
  <c r="B25" i="1"/>
  <c r="N24" i="1"/>
  <c r="U24" i="1" s="1"/>
  <c r="D24" i="1"/>
  <c r="B24" i="1"/>
  <c r="N23" i="1"/>
  <c r="U23" i="1" s="1"/>
  <c r="D23" i="1"/>
  <c r="B23" i="1"/>
  <c r="N22" i="1"/>
  <c r="U22" i="1" s="1"/>
  <c r="D22" i="1"/>
  <c r="B22" i="1"/>
  <c r="N21" i="1"/>
  <c r="U21" i="1" s="1"/>
  <c r="D21" i="1"/>
  <c r="B21" i="1"/>
  <c r="N20" i="1"/>
  <c r="U20" i="1" s="1"/>
  <c r="D20" i="1"/>
  <c r="B20" i="1"/>
  <c r="N19" i="1"/>
  <c r="U19" i="1" s="1"/>
  <c r="D19" i="1"/>
  <c r="B19" i="1"/>
  <c r="N18" i="1"/>
  <c r="U18" i="1" s="1"/>
  <c r="D18" i="1"/>
  <c r="B18" i="1"/>
  <c r="N17" i="1"/>
  <c r="U17" i="1" s="1"/>
  <c r="D17" i="1"/>
  <c r="B17" i="1"/>
  <c r="N16" i="1"/>
  <c r="U16" i="1" s="1"/>
  <c r="D16" i="1"/>
  <c r="B16" i="1"/>
  <c r="N15" i="1"/>
  <c r="U15" i="1" s="1"/>
  <c r="D15" i="1"/>
  <c r="B15" i="1"/>
  <c r="N14" i="1"/>
  <c r="U14" i="1" s="1"/>
  <c r="D14" i="1"/>
  <c r="B14" i="1"/>
  <c r="N13" i="1"/>
  <c r="U13" i="1" s="1"/>
  <c r="D13" i="1"/>
  <c r="B13" i="1"/>
  <c r="N12" i="1"/>
  <c r="U12" i="1" s="1"/>
  <c r="D12" i="1"/>
  <c r="B12" i="1"/>
  <c r="N11" i="1"/>
  <c r="U11" i="1" s="1"/>
  <c r="D11" i="1"/>
  <c r="B11" i="1"/>
  <c r="N10" i="1"/>
  <c r="U10" i="1" s="1"/>
  <c r="D10" i="1"/>
  <c r="B10" i="1"/>
  <c r="N9" i="1"/>
  <c r="U9" i="1" s="1"/>
  <c r="D9" i="1"/>
  <c r="B9" i="1"/>
  <c r="N8" i="1"/>
  <c r="U8" i="1" s="1"/>
  <c r="D8" i="1"/>
  <c r="B8" i="1"/>
  <c r="U7" i="1"/>
  <c r="D7" i="1"/>
  <c r="B7" i="1"/>
  <c r="U6" i="1"/>
  <c r="D6" i="1"/>
  <c r="B6" i="1"/>
  <c r="U5" i="1"/>
  <c r="D5" i="1"/>
  <c r="B5" i="1"/>
  <c r="U1100" i="1" l="1"/>
  <c r="U1102" i="1" s="1"/>
  <c r="N1100" i="1"/>
  <c r="N1102" i="1" s="1"/>
  <c r="M1100" i="1"/>
  <c r="M110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John Miguel Sandoval Acevedo</author>
  </authors>
  <commentList>
    <comment ref="M123" authorId="0" shapeId="0" xr:uid="{FEB3E6B5-9103-47D9-A92D-D5BD0253478B}">
      <text>
        <r>
          <rPr>
            <b/>
            <sz val="9"/>
            <color indexed="81"/>
            <rFont val="Tahoma"/>
            <family val="2"/>
          </rPr>
          <t>John Miguel Sandoval Acevedo:</t>
        </r>
        <r>
          <rPr>
            <sz val="9"/>
            <color indexed="81"/>
            <rFont val="Tahoma"/>
            <family val="2"/>
          </rPr>
          <t xml:space="preserve">
En reporte de junio se elimino por parte del SIF este rp por valor de 23.744.004 y N° 1849 </t>
        </r>
      </text>
    </comment>
  </commentList>
</comments>
</file>

<file path=xl/sharedStrings.xml><?xml version="1.0" encoding="utf-8"?>
<sst xmlns="http://schemas.openxmlformats.org/spreadsheetml/2006/main" count="10121" uniqueCount="2179">
  <si>
    <t>N° Meta</t>
  </si>
  <si>
    <t>Meta PDM</t>
  </si>
  <si>
    <t>BPIN</t>
  </si>
  <si>
    <t>Nombre proyecto de inversión</t>
  </si>
  <si>
    <t>Objeto</t>
  </si>
  <si>
    <t>N° Contrato</t>
  </si>
  <si>
    <t>Tipo de Contrato</t>
  </si>
  <si>
    <t>Modalidad</t>
  </si>
  <si>
    <t>Nombre Contratista</t>
  </si>
  <si>
    <t>RUBRO</t>
  </si>
  <si>
    <t>FECHA</t>
  </si>
  <si>
    <t>Total compromisos sin discriminar</t>
  </si>
  <si>
    <t>Total comprometido discriminado</t>
  </si>
  <si>
    <t>Total obligaciones</t>
  </si>
  <si>
    <t>SECOP II</t>
  </si>
  <si>
    <t>B</t>
  </si>
  <si>
    <t>RP</t>
  </si>
  <si>
    <t>DESCRIPCION RUBRO</t>
  </si>
  <si>
    <t>NIT TERCERO</t>
  </si>
  <si>
    <t>IND</t>
  </si>
  <si>
    <t>SALDO</t>
  </si>
  <si>
    <t xml:space="preserve">PAGO DE SERVICIO PUBLICO DE ACUEDUCTO, ALCANTARILLADO, Y ASEO DE LOS CENTROS VIDA AÑOS MARAVILLOSOS,ALVAREZ,KENNEDY POR EL PERIODO COMPRENDIDO NOVIEMBRE DEL 2022, SEGUN FACTURAS DE SERVICIO NO 8517064 - 8508111 - 8555337
</t>
  </si>
  <si>
    <t>No aplica</t>
  </si>
  <si>
    <t>No Aplica</t>
  </si>
  <si>
    <t>ACUEDUCTO METROPOLITANO DE BUCARAMANGA AMB S.A.  ESP</t>
  </si>
  <si>
    <t>2.3.2.02.02.009.4104008.91123.201</t>
  </si>
  <si>
    <t>SERVICIO DE ATENCION Y PROTECCION INTEGRAL AL ADULTO MAYOR 201</t>
  </si>
  <si>
    <t>890200162</t>
  </si>
  <si>
    <t xml:space="preserve">PAGO DE SERVICIO PUBLICO DE GAS NATURAL DE LOS CENTROS VIDA AÑOS MARAVILLOSOS FACTURA NO F18I9037878 PERIODO COMPRENDIDO DE NOVIEMBRE 16 DEL 2022 HASTA DICIEMBRE 22 DEL 2022 ALVAREZ FACTURA NO F18I9037889 PERIODO COMPRENDIDO NOVIEMBRE 16 DEL 2022 HASTA DICIEMBRE 21 DEL 2022 KENNEDY FACTURA NO F18I9037826 PERIODO COMPRENDIDO DE NOVIEMBRE 16 DEL 2022 HASTA DICIEMBRE 21 DEL 2022.
</t>
  </si>
  <si>
    <t>GASORIENTE S A  ESP</t>
  </si>
  <si>
    <t>890205952</t>
  </si>
  <si>
    <t>PAGO DE SERVICIO DE TELEFONÍA FIJA E INTERNET DEL CENTRO VIDA KENNEDDY POR EL PERIODO COMPRENDIDO DE DICIEMBRE 01 AL 31 DEL 2022 SEGÚN FACTURA DE SERVICIO NO TBCL-22326259</t>
  </si>
  <si>
    <t>COLOMBIA TELECOMUNICACIONES S.A E.S.P BIC</t>
  </si>
  <si>
    <t>830122566</t>
  </si>
  <si>
    <t>PRESTAR SERVICIOS DE APOYO A LA GESTIÓN LOGISTICA ADMINISTRATIVA EN LOS PROCESOS CONTRACTUALES EN EL MARCO DEL PROYECTO “MEJORAMIENTO DE LOS PROCESOS TRANSVERSALES PARA UNA ADMINISTRACIÓN PUBLICA MODERNA Y EFICIENTE EN LA SECRETARÍA DE DESARROLLO SOCIAL DEL MUNICIPIO BUCARAMANGA</t>
  </si>
  <si>
    <t>CONTRATO DE PRESTACIÓN DE SERVICIOS DE APOYO A LA GESTIÓN</t>
  </si>
  <si>
    <t>CONTRATACIÓN DIRECTA</t>
  </si>
  <si>
    <t>BLANCA NIEVES GONGORA CARTAGENA</t>
  </si>
  <si>
    <t>2.3.2.02.02.009.4599031.91114.201</t>
  </si>
  <si>
    <t>SDS-SDS-CPS-003-2023</t>
  </si>
  <si>
    <t>SERVICIO DE ASISTENCIA TECNICA 201</t>
  </si>
  <si>
    <t>49655387</t>
  </si>
  <si>
    <t>PRESTAR SERVICIOS PROFESIONALES PARA APOYAR LA GESTIÓN ADMINISTRATIVA MEDIANTE LA RECOLECCIÓN, ANÁLISIS, CARGUE Y RENDICIÓN DE INFORMES CONTRACTUALES EN LAS DIFERENTES PLATAFORMAS DISPUESTAS POR LA ENTIDAD Y ENTES DE CONTROL, EN EL MARCO DEL PROYECTO “MEJORAMIENTO DE LOS PROCESOS TRANSVERSALES PARA UNA ADMINISTRACIÓN PUBLICA MODERNA Y EFICIENTE EN LA SECRETARÍA DE DESARROLLO SOCIAL DEL MUNICIPIO BUCARAMANGA</t>
  </si>
  <si>
    <t>CONTRATO DE PRESTACIÓN DE SERVICIOS PROFESIONALES</t>
  </si>
  <si>
    <t>ETNA MILENA GARNICA MAYORGA</t>
  </si>
  <si>
    <t>SDS-SDS-CPS-004-2023</t>
  </si>
  <si>
    <t>37754687</t>
  </si>
  <si>
    <t>PRESTAR SERVICIOS PROFESIONALES COMO ABOGADO (A) PARA APOYAR LA GESTION JURIDICA Y CONTRACTUAL DE LA SECRETARIA, EN EL MARCO DEL PROYECTO “MEJORAMIENTO DE LOS PROCESOS TRANSVERSALES PARA UNA ADMINISTRACIÓN PUBLICA MODERNA Y EFICIENTE EN LA SECRETARÍA DE DESARROLLO SOCIAL DEL MUNICIPIO BUCARAMANGA</t>
  </si>
  <si>
    <t>STEPHANY SOTO GOMEZ</t>
  </si>
  <si>
    <t>SDS-SDS-CPS-002-2023</t>
  </si>
  <si>
    <t>1098700721</t>
  </si>
  <si>
    <t xml:space="preserve">PRESTAR SERVICIOS PROFESIONALES COMO ECONOMISTA PARA APOYAR LA SUPERVISIÓN DE CONTRATOS Y CONVENIOS EN VIRTUD DE LA GESTIÓN JURÍDICA Y CONTRACTUAL DE LA SECRETARIA DE DESARROLLO SOCIAL, EN EL MARCO DEL PROYECTO “MEJORAMIENTO DE LOS PROCESOS TRANSVERSALES PARA UNA ADMINISTRACIÓN PUBLICA MODERNA Y EFICIENTE EN LA SECRETARÍA DE DESARROLLO SOCIAL DEL MUNICIPIO BUCARAMANGA
</t>
  </si>
  <si>
    <t>ANLLY TATIANA MENDOZA TORRES</t>
  </si>
  <si>
    <t>SDS-SDS-CPS-005-2023</t>
  </si>
  <si>
    <t>1098766393</t>
  </si>
  <si>
    <t>PRESTAR SERVICIOS PROFESIONALES COMO ABOGADO (A) PARA APOYAR LA GESTION JURIDICA Y CONTRACTUAL DE LA SECRETARIA, EN EL MARCO DEL PROYECTO “MEJORAMIENTO DE LOS PROCESOS TRANSVERSALES PARA UNA ADMINISTRACIÓN PUBLICA MODERNA Y EFICIENTE EN LA SECRETARÍA DE DESARROLLO SOCIAL DEL MUNICIPIO BUCARAMANGA.</t>
  </si>
  <si>
    <t>FREDY ALEXANDER RIBERO MARULANDA</t>
  </si>
  <si>
    <t>SDS-SDS-CPS-007-2023</t>
  </si>
  <si>
    <t>1098793008</t>
  </si>
  <si>
    <t>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t>
  </si>
  <si>
    <t>JUAN CARLOS ROPERO RANGEL</t>
  </si>
  <si>
    <t>2.3.2.02.02.009.4599006.91114.201</t>
  </si>
  <si>
    <t>SDS-SDS-CPS-010-2023</t>
  </si>
  <si>
    <t>ESTUDIOS DE PREINVERSION 201</t>
  </si>
  <si>
    <t>88241490</t>
  </si>
  <si>
    <t xml:space="preserve">PRESTAR SERVICIOS PROFESIONALES COMO ABOGADO (A) PARA APOYAR LOS ASUNTOS LEGALES Y CONTRACTUALES EN EL MARCO DEL PROYECTO “MEJORAMIENTO DE LOS PROCESOS TRANSVERSALES PARA UNA ADMINISTRACIÓN PUBLICA MODERNA Y EFICIENTE EN LA SECRETARÍA DE DESARROLLO SOCIAL DEL MUNICIPIO BUCARAMANGA
</t>
  </si>
  <si>
    <t>CELIA VANESSA MAESTRE PLATA</t>
  </si>
  <si>
    <t>SDS-SDS-CPS-006-2023</t>
  </si>
  <si>
    <t>1122414006</t>
  </si>
  <si>
    <t xml:space="preserve">PRESTAR SERVICIO DE APOYO COMO CONDUCTOR A LOS DIFERENTES PROGRAMAS DE LA SECRETARIA DE DESARROLLO SOCIAL DEL MUNICIPIO DE BUCARAMANGA
</t>
  </si>
  <si>
    <t>JULIO  CESAR LOPEZ  MARTINEZ</t>
  </si>
  <si>
    <t>SDS-SDS-CPS-008-2023</t>
  </si>
  <si>
    <t>7310747</t>
  </si>
  <si>
    <t>JHOANNA ANDREA GONZALEZ RODRIGUEZ</t>
  </si>
  <si>
    <t>SDS-SDS-CPS-001-2023</t>
  </si>
  <si>
    <t>1102375286</t>
  </si>
  <si>
    <t>PRESTAR SERVICIOS PROFESIONALES PARA APOYAR LOS PROCESOS DE PLANEACION PRESUPUESTAL, CONTRACTUAL Y ADMINISTRATIVA, ASÍ COMO LA ELABORACIÓN DE INFORMES FINANCIEROS, DE GESTION Y SEGUIMIENTO A LAS METAS DE LOS PROGRAMAS SOCIALES DE CONFORMIDAD CON EL PLAN DE DESARROLLO MUNICIPAL, EN EL MARCO DEL PROYECTO “MEJORAMIENTO DE LOS PROCESOS TRANSVERSALES PARA UNA ADMINISTRACIÓN PUBLICA MODERNA Y EFICIENTE EN LA SECRETARÍA DE DESARROLLO SOCIAL DEL MUNICIPIO BUCARAMANGA</t>
  </si>
  <si>
    <t>JHON MIGUEL SANDOVAL ACEVEDO</t>
  </si>
  <si>
    <t>SDS-SDS-CPS-009-2023</t>
  </si>
  <si>
    <t>80172769</t>
  </si>
  <si>
    <t>PRESTAR SERVICIOS PROFESIONALES PARA APOYAR LA GESTIÓN PRESUPUESTAL EN EL MARCO DEL PROYECTO “MEJORAMIENTO DE LOS PROCESOS TRANSVERSALES PARA UNA ADMINISTRACIÓN PUBLICA MODERNA Y EFICIENTE EN LA SECRETARÍA DE DESARROLLO SOCIAL DEL MUNICIPIO BUCARAMANGA</t>
  </si>
  <si>
    <t>JUAN CRISOSTOMO DAVILA CASTAÑO</t>
  </si>
  <si>
    <t>SDS-SDS-CPS-011-2023</t>
  </si>
  <si>
    <t>88208820</t>
  </si>
  <si>
    <t>PRESTAR SERVICIOS PROFESIONALES PARA APOYAR LOS PROCESOS PRESUPUESTALES Y ADMINISTRATIVOS, ASÍ COMO LA ELABORACIÓN DE INFORMES FINANCIEROS Y DE GESTION DE LA SECRETARIA DE DESARROLLO SOCIAL, EN EL MARCO DEL PROYECTO MEJORAMIENTO DE LOS PROCESOS TRANSVERSALES PARA UNA ADMINITRACION PUBLICA MODERNA Y EFICIENTE EN LA SECRETARIA DE DESARROLLO SOCIAL DEL MUNICIPIO DE BUCARAMANGA.</t>
  </si>
  <si>
    <t>YADY MARLEIFY DOMINGUEZ SALAS</t>
  </si>
  <si>
    <t>SDS-SDS-CPS-012-2023</t>
  </si>
  <si>
    <t>37535807</t>
  </si>
  <si>
    <t>PRESTAR SERVICIOS PROFESIONALES PARA EL APOYO A LA GESTIÓN ADMINISTRATIVA, EN ACTIVIDADES DE IMPLEMENTACION, VERIFICACIÓN Y SEGUIMIENTO DE LOS PROCESOS DEL SISTEMA INTEGRADO DE GESTIÓN DE CALIDAD Y DE GESTIÓN DEL RIESGO Y CUMPLIMIENTO A LOS PLANES DE MEJORAMIENTO INSTITUCIONALES.</t>
  </si>
  <si>
    <t>ADRIANA HERNANDEZ CACERES</t>
  </si>
  <si>
    <t>SDS-SDS-CPS-014-2023</t>
  </si>
  <si>
    <t>1098738680</t>
  </si>
  <si>
    <t>PRESTAR SERVICIOS DE APOYO EN LA GESTIÓN ADMINISTRATIVA Y MANEJO DE LOS SISTEMAS INFORMÁTICOS EN EL MARCO DEL PROYECTO "MEJORAMIENTO DE LOS PROCESOS TRANSVERSALES PARA UNA ADMINISTRACIÓN PUBLICA MODERNA Y EFICIENTE EN LA SECRETARÍA DE DESARROLLO SOCIAL DEL MUNICIPIO BUCARAMANGA</t>
  </si>
  <si>
    <t>HUGO ALEXANDER RIOS ROMAN</t>
  </si>
  <si>
    <t>SDS-SDS-CPS-017-2023</t>
  </si>
  <si>
    <t>91528566</t>
  </si>
  <si>
    <t>CINDY EYLEN ROJAS QUINTERO</t>
  </si>
  <si>
    <t>SDS-SDS-CPS-015-2023</t>
  </si>
  <si>
    <t>63559081</t>
  </si>
  <si>
    <t>PRESTAR SERVICIOS PROFESIONALES COMO ABOGADO (A) ESPECIALIZADO (A) PARA APOYAR LA COORDINACIÓN DE LA GESTIÓN JURÍDICA Y CONTRACTUAL EN EL MARCO DEL PROYECTO “MEJORAMIENTO DE LOS PROCESOS TRANSVERSALES PARA UNA ADMINISTRACION PUBLICA MODERNA Y EFICIENTE EN LA SECRETARÍA DE DESARROLLO SOCIAL DEL MUNICIPIO DE BUCARAMANGA.</t>
  </si>
  <si>
    <t>JAIME ALBERTO PABON PEREZ</t>
  </si>
  <si>
    <t>SDS-SDS-CPS-013-2023</t>
  </si>
  <si>
    <t>1098626908</t>
  </si>
  <si>
    <t xml:space="preserve">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
</t>
  </si>
  <si>
    <t>MAIRA PATRICIA FIGUEROA LANDAZABAL</t>
  </si>
  <si>
    <t>SDS-SDS-CPS-018-2023</t>
  </si>
  <si>
    <t>37724850</t>
  </si>
  <si>
    <t>PRESTAR SERVICIOS DE APOYO LOGÍSTICO Y ADMINISTRATIVO EN EL MARCO DEL PROYECTO “MEJORAMIENTO DE LOS PROCESOS TRANSVERSALES PARA UNA ADMINISTRACIÓN PÚBLICA MODERNA Y EFICIENTE EN LA SECRETARÍA DE DESARROLLO SOCIAL DEL MUNICIPIO DE BUCARAMANGA.</t>
  </si>
  <si>
    <t>JARLON ANDRES MONTERO RIVERA</t>
  </si>
  <si>
    <t>SDS-SDS-CPS-016-2023</t>
  </si>
  <si>
    <t>1093294304</t>
  </si>
  <si>
    <t>PRESTAR SERVICIOS COMO PROFESIONAL EN ECONOMÍA PARA EL ANÁLISIS, LA INTERPRETACIÓN DE DATOS; LA FORMULACIÓN Y SEGUIMIENTO DE PROYECTOS Y POLÍTICAS PÚBLICAS EN EL MARCO DEL PROYECTO MEJORAMIENTO DE LOS PROCESOS TRANSVERSALES PARA UNA ADMINISTRACIÓN PÚBLICA MODERNA Y EFICIENTE EN LA SECRETARIA DE DESARROLLO SOCIAL DEL MUNICIPIO DE BUCARAMANGA</t>
  </si>
  <si>
    <t>LAURA JULIANA BELTRAN REYES</t>
  </si>
  <si>
    <t>SDS-SDS-CPS-019-2023</t>
  </si>
  <si>
    <t>1098795028</t>
  </si>
  <si>
    <t>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t>
  </si>
  <si>
    <t>DEYMAR ALFONSO ALZATE REY</t>
  </si>
  <si>
    <t>SDS-SDS-CPS-021-2023</t>
  </si>
  <si>
    <t>1098721429</t>
  </si>
  <si>
    <t>PRESTAR SERVICIOS PROFESIONALES COMO ABOGADO (A) PARA APOYAR LA GESTIÓN JURIDICA Y CONTRACTUAL DE LA SECRETARIA, EN EL MARCO DEL PROYECTO “MEJORAMIENTO DE LOS PROCESOS TRANSVERSALES PARA UNA ADMINISTRACIÓN PUBLICA MODERNA Y EFICIENTE EN LA SECRETARÍA DE DESARROLLO SOCIAL DEL MUNICIPIO BUCARAMANGA</t>
  </si>
  <si>
    <t>DARLY LILIANA NEGRON QUIROGA</t>
  </si>
  <si>
    <t>SDS-SDS-CPS-022-2023-1</t>
  </si>
  <si>
    <t>1098605899</t>
  </si>
  <si>
    <t>PRESTAR SERVICIOS PROFESIONALES COMO COMUNICADORA EN EL DESARROLLO DE LAS ACTIVIDADES DE LOS PROGRAMAS DE LA SECRETARIA DE DESARROLLO SOCIAL EN EL MARCO DEL PROYECTO “MEJORAMIENTO DE LOS PROCESOS TRANSVERSALES PARA UNA ADMINISTRACIÓN PÚBLICA MODERNA Y EFICIENTE EN LA SECRETARIA DE DESARROLLO SOCIAL DEL MUNICIPIO DE BUCARAMANGA.</t>
  </si>
  <si>
    <t>SHIRLEY CAROLINA CANCHILA BELTRAN</t>
  </si>
  <si>
    <t>SDS-SDS-CPS-023-2023</t>
  </si>
  <si>
    <t>37843870</t>
  </si>
  <si>
    <t>PRESTAR SERVICIOS PROFESIONALES COMO DISEÑADOR(A) GRÁFICO Y REALIZADOR AUDIOVISUAL PARA EL FORTALECIMIENTO DE LA COMUNICACIÓN INTERNA Y EXTERNA DE LOS DIFERENTES PROGRAMAS DE LA SECRETARIA DE DESARROLLO SOCIAL DEL MUNICIPIO DEL BUCARAMANGA.</t>
  </si>
  <si>
    <t>ANDRES FELIPE VASQUEZ SARMIENTO</t>
  </si>
  <si>
    <t>SDS-SDS-CPS-020-2023</t>
  </si>
  <si>
    <t>1098729765</t>
  </si>
  <si>
    <t>PAGO DE RIESGOS PROFESIONALES A 115 EDILES DEL MUNICIPIO DE BUCARAMANGA POR EL PERIODO DE ENERO 01 AL 31 DEL 2023.</t>
  </si>
  <si>
    <t>POSITIVA COMPAÑIA DE SEGUROS</t>
  </si>
  <si>
    <t>2.3.2.02.02.009.4502001.91310.201</t>
  </si>
  <si>
    <t>SERVICIO DE PROMOCION A LA PARTICIPACION CIUDADANA 201</t>
  </si>
  <si>
    <t>860011153</t>
  </si>
  <si>
    <t>PAGO DE SEGURIDAD SOCIAL A 115 EDILES DEL MUNICIPIO DE BUCARAMANGA POR EL PERIODO DE ENERO 01 AL 31 DEL 2023.</t>
  </si>
  <si>
    <t>ASMETD SALUD EPS SAS</t>
  </si>
  <si>
    <t>900935126</t>
  </si>
  <si>
    <t>COOSALUD MOVILIDAD</t>
  </si>
  <si>
    <t>900226715</t>
  </si>
  <si>
    <t>EPS SURA</t>
  </si>
  <si>
    <t>800088702</t>
  </si>
  <si>
    <t>FAMISANAR</t>
  </si>
  <si>
    <t>830003564</t>
  </si>
  <si>
    <t>ADRES</t>
  </si>
  <si>
    <t>901037916</t>
  </si>
  <si>
    <t>NUEVA EPS S A</t>
  </si>
  <si>
    <t>900156264</t>
  </si>
  <si>
    <t>FUNDACION SALUD MIA EPS</t>
  </si>
  <si>
    <t>900914254</t>
  </si>
  <si>
    <t>SALUD TOTAL</t>
  </si>
  <si>
    <t>800130907</t>
  </si>
  <si>
    <t>SANITAS E P S</t>
  </si>
  <si>
    <t>800251440</t>
  </si>
  <si>
    <t>ADICIONAR EN VALOR Y TIEMPO EL CONTRATO DE PRESTACIÓN DE SERVICIO CUYO OBJETO CONTRACTUAL ES "SERVICIO EXEQUIAL DIRIGIDA A (I) NIÑOS, NIÑAS Y ADOLESCENTES, (II) PERSONAS MAYORES, (III) POBLACIÓN HABITANTE DE CALLE, EN SITUACIÓN DE VULNERABILIDAD, POBREZA O EXTREMA POBREZA, ENTRE OTRAS, E INHUMACIÓN Y EXHUMACIÓN DE CADÁVERES NO IDENTIFICADOS (N.N.) O NO RECLAMADOS DEL MUNICIPIO DE BUCARAMANGA"</t>
  </si>
  <si>
    <t>CONTRATO DE PRESTACION DE SERVICIOS</t>
  </si>
  <si>
    <t>SELECCIÓN ABREVIADA SUBASTA INVERSA</t>
  </si>
  <si>
    <t>JESUS ALBERTO REY OLARTE</t>
  </si>
  <si>
    <t>2.3.2.02.02.009.4104027.97321.201</t>
  </si>
  <si>
    <t>SDS-SDS-SASI-001-2022</t>
  </si>
  <si>
    <t>SERVICIO DE ATENCION INTEGRAL AL HABITANTE DE LA CALLE 201</t>
  </si>
  <si>
    <t>91237413</t>
  </si>
  <si>
    <t>2.3.2.02.02.009.4102038.97321.201</t>
  </si>
  <si>
    <t>SERVICIO DIRIGIDOS A LA ATENCION DE NIÑOS, NIÑAS, ADOLESCENTES Y JOVENES, CON ENFOQUE PEDAGOGICO Y RESTAURATIVO ENCAMINADOS A LA INCLUSION SOCIAL 201</t>
  </si>
  <si>
    <t>2.3.2.02.02.009.4104008.97321.201</t>
  </si>
  <si>
    <t>PRESTAR SERVICIOS PROFESIONALES PARA LA COORDINACIÓN DE LA CASA BÚHO, ESPACIO DE CUIDADO Y ATENCIÓN A NIÑOS Y NIÑAS DEL MUNICIPIO DE BUCARAMANGA</t>
  </si>
  <si>
    <t>JOHANNA ANDREA LOPEZ ACUÑA</t>
  </si>
  <si>
    <t>2.3.2.02.02.009.4102001.91119.201</t>
  </si>
  <si>
    <t>SDS-SDS-CPS-024-2023</t>
  </si>
  <si>
    <t>SERVICIO DE ATENCION INTEGRAL A LA PRIMERA INFANCIA 201</t>
  </si>
  <si>
    <t>1098707519</t>
  </si>
  <si>
    <t>PRESTAR SERVICIOS PROFESIONALES COMO PROFESIONAL ESPECIALIZADO, PARA EL APOYO EN PROCESOS DE FORMULACIÓN, IMPLEMENTACIÓN Y SEGUIMIENTO DE LAS POLÍTICAS PÚBLICAS DE LA SECRETARÍA DE DESARROLLO SOCIAL, EN EL MARCO DEL PROYECTO DE “MEJORAMIENTO DE LOS PROCESOS TRANSVERSALES PARA UNA ADMINISTRACIÓN PÚBLICA MODERNA Y EFICIENTE EN LA SECRETARÍA DE DESARROLLO SOCIAL DEL MUNICIPIO DE BUCARAMANGA</t>
  </si>
  <si>
    <t>WILFRED ALONSO ROMERO ARCINIEGAS</t>
  </si>
  <si>
    <t>SDS-SDS-CPS-025-2023</t>
  </si>
  <si>
    <t>1098639371</t>
  </si>
  <si>
    <t>ADICIONAR EN TIEMPO Y VALOR EL CONVENIO DE ASOCIACIÓN NO 92 DEL 2022 CUYO OBJETO CONTRACTUAL ES "BRINDAR ATENCIÓN INTEGRAL PARA LA POBLACIÓN EN HABITANTE EN CALLE, CON ALTA DEPENDENCIA FÍSICA, MENTAL O COGNITIVA"</t>
  </si>
  <si>
    <t xml:space="preserve">CONTRATO DE APOYO A PROGRAMA DE INTERES PUBLICO             </t>
  </si>
  <si>
    <t>PROCESO SELECCIÓN ESAL</t>
  </si>
  <si>
    <t>SHALOM CASA DE PAZ</t>
  </si>
  <si>
    <t>2.3.2.02.02.009.4104027.91119.201</t>
  </si>
  <si>
    <t>SDS-SDS-PC-006-2022</t>
  </si>
  <si>
    <t>804001267</t>
  </si>
  <si>
    <t>ADICIONAR EN TIEMPO Y VALOR EL CONVENIO DE ASOCIACIÓN NO 119 DEL 2022 CUYO OBJETO CONTRACTUAL ES "ATENCIÓN INTEGRAL E INCLUSIÓN SOCIAL EN ESCENARIOS DE PROMOCIÓN DE LAS PERSONAS EN HABITABILIDAD EN CALLE EN EL MUNICIPIO DE BUCARAMANGA"</t>
  </si>
  <si>
    <t>CONVENIO DE ASOCIACION</t>
  </si>
  <si>
    <t>CONTRATACIÓN DIRECTA -Dec 092-2017</t>
  </si>
  <si>
    <t>FUNDACION HOGAR  JERUSALEN</t>
  </si>
  <si>
    <t>SDS-SDS-PC-119-2022</t>
  </si>
  <si>
    <t>900212003</t>
  </si>
  <si>
    <t>ADICIONAR EN TIEMPO Y VALOR EL CONVENIO DE ASOCIACIÓN NO 116 DEL 2022 CUYO OBJETO CONTRACTUAL ES "REALIZAR EL PROCESO DE HABILITACIÓN Y REHABILITACIÓN DE NIÑOS, NIÑAS, ADOLESCENTES, JÓVENES Y ADULTOS CON DISCAPACIDAD DEL SECTOR URBANO Y RURAL DEL MUNICIPIO DE BUCARAMANGA A TRAVÉS DE LA ESTRATEGIA DE REHABILITACIÓN BASADA EN COMUNIDAD –RBC-"</t>
  </si>
  <si>
    <t>FUNDACIÓN DE AMIGOS DE LOS NIÑOS CON DISCAPACIDAD</t>
  </si>
  <si>
    <t>2.3.2.02.02.009.4104020.93411.201</t>
  </si>
  <si>
    <t>SDS-SDS-PC-116-2022</t>
  </si>
  <si>
    <t>SERVICIO DE ATENCION INTEGRAL A POBLACION EN CONDICION DE DISCAPACIDAD 201</t>
  </si>
  <si>
    <t>804006026</t>
  </si>
  <si>
    <t xml:space="preserve">PRESTAR SERVICIOS PROFESIONALES PARA BRINDAR APOYO JURÍDICO EN LA INMERSIÓN Y MATERIALIZACIÓN DE LA ESTRATEGIA DE PARTICIPACIÓN DEMOCRÁTICA ENTRE LA POBLACIÓN JOVEN DEL MUNICIPIO DE BUCARAMANGA
</t>
  </si>
  <si>
    <t>RUBEN DARIO SALAZAR MANRIQUE</t>
  </si>
  <si>
    <t>SDS-SDS-CPS-026-2023</t>
  </si>
  <si>
    <t>1098778416</t>
  </si>
  <si>
    <t>ADICIONAR EN TIEMPO Y VALOR EL CONVENIO DE ASOCIACIÓN NO 108 DEL 2022 CUYO OBJETO CONTRACTUAL ES "REALIZAR EL PROCESO DE HABILITACIÓN Y REHABILITACIÓN INTEGRAL DIRIGIDA A NIÑOS, NIÑAS Y ADOLESCENTES CON DISCAPACIDAD INTELECTUAL - SÍNDROME DE DOWN DEL MUNICIPIO DE BUCARAMANGA, CON EL FIN DE MEJORAR SU CALIDAD DE VIDA Y PROPENDER POR LA FUNCIONALIDAD, INDEPENDENCIA E INCLUSIÓN SOCIAL"</t>
  </si>
  <si>
    <t>SDS-SDS-PC-108-2022</t>
  </si>
  <si>
    <t>ADICIONAR EN TIEMPO Y VALOR EL CONVENIO DE ASOCIACIÓN NO 107-2022 CUYO OBJETO CONTRACTUAL ES "REALIZAR EL PROCESO DE HABILITACIÓN Y REHABILITACIÓN INTEGRAL DIRIGIDO A NIÑOS, NIÑAS Y ADOLESCENTES CON DISCAPACIDAD FÍSICA, INTELECTUAL Y MÚLTIPLE DEL MUNICIPIO DE BUCARAMANGA, BASADO EN EL DEPORTE, CULTURA Y ARTE ADAPTADO CON EL FIN DE MEJORAR SU CALIDAD DE VIDA Y PROPENDER POR SU FUNCIONALIDAD, INDEPENDENCIA E INCLUSIÓN SOCIAL”</t>
  </si>
  <si>
    <t>FUNDACION SIN LIMITES A LA INCLUSION</t>
  </si>
  <si>
    <t>SDS-SDS-PC-107-2022</t>
  </si>
  <si>
    <t>900811673</t>
  </si>
  <si>
    <t>PRESTAR SERVICIOS PROFESIONALES COMO TRABAJADOR (A) SOCIAL EN EL MARCO DEL PROGRAMA DE FORTALECIMIENTO DE LA ATENCIÓN DE PERSONAS CON DISCAPACIDAD PARA EL GOCE EFECTIVO DE SUS DERECHOS FUNDAMENTALES EN EL MUNICIPIO DE BUCARAMANGA.</t>
  </si>
  <si>
    <t>NANCY ROXANA TAMAYO TETTE</t>
  </si>
  <si>
    <t>2.3.2.02.02.009.4104020.91119.201</t>
  </si>
  <si>
    <t>SDS-SDS-CPS-027-2023</t>
  </si>
  <si>
    <t>1098794673</t>
  </si>
  <si>
    <t>PRESTAR SERVICIOS PROFESIONALES EN COMUNICACIÓN SOCIAL PARA EL DISEÑO E IMPLEMENTACIÓN DE ESTRATEGIAS COMUNICATIVAS ORIENTADAS AL FOMENTO DE LA PARTICIPACIÓN Y LIDERAZGOS DE NIÑOS, NIÑAS Y ADOLESCENTES, ASÍ COMO LA PREVENCIÓN DE VIOLENCIAS EN EL MARCO DE LOS PROGRAMAS PRIMERA INFANCIA, EL CENTRO DE LA SOCIEDAD; CRECE CONMIGO: UNA INFANCIA FELIZ Y CONSTRUCCIÓN DE ENTORNOS PARA UNA ADOLESCENCIA SANA DE LA SECRETARIA DE DESARROLLO SOCIAL DEL MUNICIPIO DE BUCARAMANGA</t>
  </si>
  <si>
    <t>SILVIA NATALIA FANDIÑO ARDILA</t>
  </si>
  <si>
    <t>2.3.2.02.02.009.4102038.91114.201</t>
  </si>
  <si>
    <t>SDS-SDS-CPS-029-2023</t>
  </si>
  <si>
    <t>1095836131</t>
  </si>
  <si>
    <t>PRESTAR SERVICIOS PROFESIONALES EN TRABAJO SOCIAL PARA APOYAR LA EJECUCIÓN DE ESTRATEGIAS ORIENTADAS AL FOMENTO DE LA PARTICIPACIÓN Y LIDERAZGO DE NIÑOS, NIÑAS Y ADOLESCENTES Y LA PREVENCIÓN DE VIOLENCIAS EN ADOLESCENTES IMPLEMENTADAS POR LA SECRETARÍA DE DESARROLLO SOCIAL DE BUCARAMANGA</t>
  </si>
  <si>
    <t>ALEJANDRA  DANIELA MANRIQUE ESPINOSA</t>
  </si>
  <si>
    <t>SDS-SDS-CPS-028-2023</t>
  </si>
  <si>
    <t>1030653089</t>
  </si>
  <si>
    <t>PRESTAR SERVICIOS PROFESIONALES EN LA ATENCIÓN DE LA POBLACIÓN DE PRIMERA INFANCIA E INFANCIA EN CASA BÚHO DE LA SECRETARÍA DE DESARROLLO SOCIAL DEL MUNICIPIO DE BUCARAMANGA.</t>
  </si>
  <si>
    <t>PAOLA ANDREA CHAPETA FUENTES</t>
  </si>
  <si>
    <t>SDS-SDS-CPS-034-2023</t>
  </si>
  <si>
    <t>1098776223</t>
  </si>
  <si>
    <t>PRESTAR SERVICIOS PROFESIONALES COMO APOYO A LA COORDINACIÓN DEL COMPONENTE DE BIENESTAR SOCIAL Y LA ESTRATEGIA DE COOPERACIÓN INTERNACIONAL Y AYUDA HUMANITARIA EN EL MARCO DEL PROYECTO DE “MEJORAMIENTO DE LOS PROCESOS TRANSVERSALES PARA UNA ADMINISTRACIÓN PUBLICA MODERNA Y EFICIENTE EN LA SECRETARÍA DE DESARROLLO SOCIAL DEL MUNICIPIO DE BUCARAMANGA</t>
  </si>
  <si>
    <t>LIBARDO LUIS BALLESTEROS ALSINA</t>
  </si>
  <si>
    <t>SDS-SDS-CPS-030-2023</t>
  </si>
  <si>
    <t>1091675412</t>
  </si>
  <si>
    <t>YENNIFER YURLEY NOCOVE SALAMANCA</t>
  </si>
  <si>
    <t>SDS-SDS-CPS-033-2023</t>
  </si>
  <si>
    <t>1118551281</t>
  </si>
  <si>
    <t xml:space="preserve">PRESTAR SERVICIOS PROFESIONALES DE APOYO EN LA GESTIÓN DE PROCESOS, PROCESOS DE GESTIÓN DOCUMENTAL Y ADMINISTRATIVOS EN EL MARCO DEL PROGRAMA DE FORTALECIMIENTO DE LA ATENCIÓN DE PERSONAS CON DISCAPACIDAD PARA EL GOCE EFECTIVO DE SUS DERECHOS FUNDAMENTALES EN EL MUNICIPIO DE BUCARAMANGA
</t>
  </si>
  <si>
    <t>OSCAR FERNANDO LEON ANTOLINEZ</t>
  </si>
  <si>
    <t>SDS-SDS-CPS-032-2023</t>
  </si>
  <si>
    <t>1098673360</t>
  </si>
  <si>
    <t>PRESTAR SERVICIOS PROFESIONALES COMO EDUCADOR/A DE NIÑOS Y NIÑAS DEL PRIMERA INFANCIA E INFANCIA BENEFICIARIOS DE CASA BÚHO, ESPACIO DE CUIDADO ADSCRITO A LA SECRETARÍA DE DESARROLLO SOCIAL DEL MUNICIPIO DE BUCARAMANGA</t>
  </si>
  <si>
    <t>BEATRIZ PALOMINO CAMARGO</t>
  </si>
  <si>
    <t>SDS-SDS-CPS-031-2023-1</t>
  </si>
  <si>
    <t>1095817801</t>
  </si>
  <si>
    <t>PRESTAR SERVICIOS PROFESIONALES COMO TRABAJADORA SOCIAL PARA APOYAR LA IMPLEMENTACIÓN DE INICIATIVAS ORIENTADAS A LA GENERACIÓN DE ENTORNOS PROTECTORES, FORTALECIMIENTO DE LOS LIDERAZGOS Y PARTICIPACIÓN EN EL MARCO DE LOS PROGRAMAS PRIMERA INFANCIA, EL CENTRO DE LA SOCIEDAD; CRECE CONMIGO: UNA INFANCIA FELIZ Y CONSTRUCCIÓN DE ENTORNOS PARA UNA ADOLESCENCIA SANA DE LA SECRETARIA DE DESARROLLO SOCIAL DE LA ALCALDÍA DE BUCARAMANGA</t>
  </si>
  <si>
    <t>DAYANNA MARCELA GUTIERREZ VARGAS</t>
  </si>
  <si>
    <t>SDS-SDS-CPS-037-2023</t>
  </si>
  <si>
    <t>1095938084</t>
  </si>
  <si>
    <t>PRESTAR SERVICIOS COMO PROFESIONAL ESPECIALIZADO VINCULADO A LA ESTRATEGIA DE COMUNICACIÓN Y TERRITORIALIZACIÓN DE LOS DIFERENTES PROGRAMAS DE LA SECRETARIA DE DESARROLLO SOCIAL DEL MUNICIPIO DE BUCARAMANGA</t>
  </si>
  <si>
    <t>MANUEL GUILLERMO JAIMES ROA</t>
  </si>
  <si>
    <t>SDS-SDS-CPS-041-2023</t>
  </si>
  <si>
    <t>91161970</t>
  </si>
  <si>
    <t>PRESTAR SERVICIOS DE APOYO COMO TÉCNICO DE SISTEMAS EN LA ELABORACION DE LAS BASES DE DATOS DE LOS PROGRAMAS SOCIALES DE LA SECRETARIA DE DESARROLLO SOCIAL DEL MUNICIPIO DE BUCARAMANGA</t>
  </si>
  <si>
    <t>DAYNER FABIANNI ALVARADO OJEDA</t>
  </si>
  <si>
    <t>SDS-SDS-CPS-042-2023</t>
  </si>
  <si>
    <t>1101597957</t>
  </si>
  <si>
    <t>PRESTAR SERVICIOS DE APOYO A LA GESTIÓN EN EL COMPONENTE PEDAGÓGICO EN CASA BÚHO DE LA SECRETARÍA DE DESARROLLO SOCIAL DEL MUNICIPIO DE BUCARAMANGA</t>
  </si>
  <si>
    <t>LUZ  AMPARO ROBLES  HERNANDEZ</t>
  </si>
  <si>
    <t>SDS-SDS-CPS-038-2023</t>
  </si>
  <si>
    <t>63526789</t>
  </si>
  <si>
    <t>PRESTAR SERVICIOS DE APOYO A LA GESTIÓN EN LA IMPLEMENTACIÓN DE LAS DIFERENTES ACTIVIDADES DE LOS PROGRAMAS PRIMERA INFANCIA, EL CENTRO DE LA SOCIEDAD; CRECE CONMIGO: UNA INFANCIA FELIZ Y CONSTRUCCIÓN DE ENTORNOS PARA UNA ADOLESCENCIA SANA EN LA SECRETARIA DE DESARROLLO SOCIAL DEL MUNICIPIO DE BUCARAMANGA</t>
  </si>
  <si>
    <t>ANGIE MELISSA RODRIGUEZ BERMUDEZ</t>
  </si>
  <si>
    <t>SDS-SDS-CPS-035-2023</t>
  </si>
  <si>
    <t>1098785803</t>
  </si>
  <si>
    <t>PAGO DE SERVICIO DE ACUEDUCTO ALCANTARILLADO Y ASEO DE CASA BUHO, POR EL PERIODO DE NOVIEMBRE DEL 2022 SEGUN FACTURA DE SERVICIO NO 8485768</t>
  </si>
  <si>
    <t>PAGO DE SERVICIO PÚBLICO DE ENERGÍA ELÉCTRICA DE CASA BÚHO POR EL PERIODO DE DICIEMBRE 01 AL 31 DEL 2022, SEGÚN FACTURA NO 202491874</t>
  </si>
  <si>
    <t>ELECTRIFICADORA DE SANTANDER S.A. ESP</t>
  </si>
  <si>
    <t>890201230</t>
  </si>
  <si>
    <t>PRESTAR SERVICIOS DE APOYO A LA GESTIÓN COMO TECNOLOGO DEPORTIVO PARA APOYAR LA IMPLEMENTACIÓN DE ACTIVIDADES EN LAS QUE SE PROMUEVA LA LÚDICA Y LA RECREACIÓN DE NIÑOS, NIÑAS Y ADOLESCENTES EL MARCO DE LOS PROGRAMAS PRIMERA INFANCIA, EL CENTRO DE LA SOCIEDAD; CRECE CONMIGO: UNA INFANCIA FELIZ Y CONSTRUCCIÓN DE ENTORNOS PARA UNA ADOLESCENCIA SANA EN LA SECRETARIA DE DESARROLLO SOCIAL DEL MUNICIPIO DE BUCARAMANGA</t>
  </si>
  <si>
    <t>MAURO ALEXANDER BERMUDEZ BERMUDEZ</t>
  </si>
  <si>
    <t>SDS-SDS-CPS-053-2023</t>
  </si>
  <si>
    <t>1000792512</t>
  </si>
  <si>
    <t>PRESTAR SERVICIOS PROFESIONALES COMO EDUCADOR/A DE NIÑOS Y NIÑAS DEL PRIMERA INFANCIA E INFANCIA BENEFICIARIOS DE CASA BÚHO, ESPACIO DE CUIDADO ADSCRITO A LA SECRETARÍA DE DESARROLLO SOCIAL DEL MUNICIPIO DE BUCARAMANGA.</t>
  </si>
  <si>
    <t>YUBIAN ESMIR OVALLE AMAYA</t>
  </si>
  <si>
    <t>SDS-SDS-CPS-046-2023</t>
  </si>
  <si>
    <t>1090428935</t>
  </si>
  <si>
    <t>PRESTAR SERVICIOS PROFESIONALES COMO EDUCADOR/A DE NIÑOS Y NIÑAS DEL PRIMERA INFANCIA E INFANCIA BENEFICIARIOS DE CASA BÚHO, ESPACIO DE CUIDADO ADSCRITO A LA SECRETARÍA DE DESARROLLO SOCIAL DE BUCARAMANGA.</t>
  </si>
  <si>
    <t>LORENA ALVAREZ ARCHILA</t>
  </si>
  <si>
    <t>SDS-SDS-CPS-045-2023</t>
  </si>
  <si>
    <t>63335297</t>
  </si>
  <si>
    <t>PRESTAR SERVICIOS PROFESIONALES ORIENTADOS AL FORTALECIMIENTO DE LA COMUNICACIÓN ESTRATÉGICA DE LA SECRETARÍA DE DESARROLLO SOCIAL EN LO RELACIONADO AL DESARROLLO CREATIVO Y DE CONCEPTO JUNTO AL DISEÑO DE CONTENIDOS DIGITALES EN EL MARCO DE LOS PROGRAMAS PRIMERA INFANCIA, EL CENTRO DE LA SOCIEDAD; CRECE CONMIGO: UNA INFANCIA FELIZ, Y CONSTRUCCIÓN DE ENTORNOS PARA UNA ADOLESCENCIA SANA.</t>
  </si>
  <si>
    <t>IVAN CANTILLO JUNCO</t>
  </si>
  <si>
    <t>SDS-SDS-CPS-044-2023</t>
  </si>
  <si>
    <t>73129852</t>
  </si>
  <si>
    <t xml:space="preserve">PRESTAR SERVICIOS PROFESIONALES COMO EDUCADOR/A DE NIÑOS Y NIÑAS DEL PRIMERA INFANCIA E INFANCIA BENEFICIARIOS DE CASA BÚHO, ESPACIO DE CUIDADO ADSCRITO A LA SECRETARÍA DE DESARROLLO SOCIAL DEL MUNICIPIO DE BUCARAMANGA.
</t>
  </si>
  <si>
    <t>NELSY MILENA RINCON CUADROS</t>
  </si>
  <si>
    <t>SDS-SDS-CPS-067-2023</t>
  </si>
  <si>
    <t>37748213</t>
  </si>
  <si>
    <t>AYDA MARITHZA CAMACHO GUIZA</t>
  </si>
  <si>
    <t>SDS-SDS-CPS-048-2023</t>
  </si>
  <si>
    <t>63515745</t>
  </si>
  <si>
    <t>ENCARNACION ZARATE DIAZ</t>
  </si>
  <si>
    <t>SDS-SDS-CPS-056-2023</t>
  </si>
  <si>
    <t>63394720</t>
  </si>
  <si>
    <t>PRESTAR SERVICIOS PROFESIONALES COMO LICENCIADA EN PEDAGOGÍA INFANTIL PARA LA IMPLEMENTACIÓN DE ESTRATEGIAS LUDICOPEDAGÓGICAS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t>
  </si>
  <si>
    <t>TULIA STELLA RENDON ALVAREZ</t>
  </si>
  <si>
    <t>SDS-SDS-CPS-051-2023</t>
  </si>
  <si>
    <t>63557830</t>
  </si>
  <si>
    <t>PRESTAR SERVICIOS PROFESIONALES EN TRABAJO SOCIAL PARA LA IMPLEMENTACIÓN DE ACCIONES ORIENTADAS A LA PROMOCION DE ENTORNOS PROTECTORES DE NIÑOS, NIÑAS Y ADOLESCENTES, EL FORTALECIMIENTO DE VÍNCULOS FAMILIARES ENTRE PADRES/MADRES E HIJOS Y EL AFIANZAMIENTO DE LA IDENTIDAD DE NIÑOS/AS Y ADOLESCENTES DESDE UNA PERSPECTIVA DE GÉNERO EN EL MARCO DE LOS PROGRAMAS PRIMERA INFANCIA, EL CENTRO DE LA SOCIEDAD; CRECE CONMIGO: UNA INFANCIA FELIZ Y CONSTRUCCIÓN DE ENTORNOS PARA UNA ADOLESCENCIA SANA EN LA SECRETARIA DE DESARROLLO SOCIAL DEL MUNICIPIO DE BUCARAMANGA</t>
  </si>
  <si>
    <t>ASTRID JULIANA SUAREZ BAUTISTA</t>
  </si>
  <si>
    <t>SDS-SDS-CPS-047-2023</t>
  </si>
  <si>
    <t>1098706681</t>
  </si>
  <si>
    <t>PRESTAR SERVICIOS PROFESIONALES DE LICENCIATURA EN EDUCACIÓN BASICA, EN EL MARCO DE LOS PROGRAMAS PRIMERA INFANCIA, EL CENTRO DE LA SOCIEDAD; CRECE CONMIGO: UNA INFANCIA FELIZ Y CONSTRUCCIÓN DE ENTORNOS PARA UNA ADOLESCENCIA SANA DE LA SECRETARIA DE DESARROLLO SOCIAL DEL MUNICIPIO DE BUCARAMANGA</t>
  </si>
  <si>
    <t>EDNA CAROLINA HERRERA CACERES</t>
  </si>
  <si>
    <t>SDS-SDS-CPS-050-2023</t>
  </si>
  <si>
    <t>1098755149</t>
  </si>
  <si>
    <t>PRESTAR SERVICIOS PROFESIONALES EN CULTURA FÍSICA, DEPORTE Y RECREACIÓN PARA EL DESARROLLO DE ESTRATEGIAS Y ACTIVIDADES EN LAS QUE SE INCORPORE EL JUEGO, LA LUDICA Y LA RECREACIÓN EN EL MARCO DE LOS PROGRAMAS PRIMERA INFANCIA EL CENTRO DE LA SOCIEDAD; CRECE CONMIGO, UNA INFANCIA FELIZ Y CONSTRUCCIÓN DE ENTORNOS PARA UNA ADOLESCENCIA SANA, ADSCRITOS A LA SECRETARÍA DE DESARROLLO SOCIAL DEL MUNICIPIO DE BUCARAMANGA</t>
  </si>
  <si>
    <t>JOSE DAVID VEGA CAMACHO</t>
  </si>
  <si>
    <t>SDS-SDS-CPS-049-2023</t>
  </si>
  <si>
    <t>1098755438</t>
  </si>
  <si>
    <t>PRESTAR SERVICIOS PROFESIONALES EN PSICOLOGÍA PARA LA PUESTA EN MARCHA DE LA ESTRATEGIA “ACTIVOS EN EL CUIDADO” Y “MI CASA UN ENTORNO SEGURO, ORIENTADO A LA GENERACIÓN DE ENTORNOS PROTECTORES PARA NIÑOS, NIÑAS Y ADOLESCENTES A NIVEL FAMILIAR, COMUNITARIO E INSTITUCIONAL, EN EL MARCO DE LOS PROGRAMAS PRIMERA INFANCIA, EL CENTRO DE LA SOCIEDAD, CRECE CONMIGO; UNA INFANCIA FELIZ, Y CONSTRUCCIÓN DE ENTORNOS PARA UNA ADOLESCENCIA SANA DE LA SECRETARIA DE DESARROLLO SOCIAL.</t>
  </si>
  <si>
    <t>ANGIE KATHERINE PEREIRA RODRIGUEZ</t>
  </si>
  <si>
    <t>SDS-SDS-CPS-058-2023</t>
  </si>
  <si>
    <t>1098756817</t>
  </si>
  <si>
    <t>PRESTAR SERVICIOS PROFESIONALES APOYANDO LA COORDINACIÓN, GESTIÓN Y DESARROLLO DE LAS ACTIVIDADES DEL PROGRAMA DE DISCAPACIDAD EN LA SECRETARÍA DE DESARROLLO SOCIAL DEL MUNICIPIO DE BUCARAMANGA, SANTANDER</t>
  </si>
  <si>
    <t>HENRY MURILLO SALAZAR</t>
  </si>
  <si>
    <t>SDS-SDS-CPS-039-2023</t>
  </si>
  <si>
    <t>91494027</t>
  </si>
  <si>
    <t>CARMEN ROSA CORZO MENDEZ</t>
  </si>
  <si>
    <t>SDS-SDS-CPS-061-2023</t>
  </si>
  <si>
    <t>63486501</t>
  </si>
  <si>
    <t>PRESTAR SERVICIOS PROFESIONALES EN PSICOLOGIA PARA APOYAR LA IMPLEMENTACIÓN DE LOS PROCESOS DEL PROYECTO CASA BÚHO DEL MUNICIPIO DE BUCARAMANGA.</t>
  </si>
  <si>
    <t>LISBETH ANDREA LANDAZABAL ORTIZ</t>
  </si>
  <si>
    <t>SDS-SDS-CPS-054-2023</t>
  </si>
  <si>
    <t>1095809409</t>
  </si>
  <si>
    <t>LINA MARCELA LOPEZ MARTINEZ</t>
  </si>
  <si>
    <t>SDS-SDS-CPS-063-2023</t>
  </si>
  <si>
    <t>1098639723</t>
  </si>
  <si>
    <t>PRESTAR SERVICIOS PROFESIONALES EN LA IMPLEMENTACIÓN DE LOS PROGRAMAS DE PRIMERA INFANCIA EL CENTRO DE LA SOCIEDAD; CRECE CONMIGO: UNA INFANCIA FELIZ Y CONSTRUCCIÓN DE ENTORNOS PARA UNA ADOLESCENCIA SANA DE LA SECRETARÍA DE DESARROLLO SOCIAL DE BUCARAMANGA</t>
  </si>
  <si>
    <t>RUTH ELENA LOZANO MARTINEZ</t>
  </si>
  <si>
    <t>SDS-SDS-CPS-036-2023</t>
  </si>
  <si>
    <t>63361994</t>
  </si>
  <si>
    <t>PRESTAR SERVICIOS DE APOYO A LA GESTIÓN PARA LA IMPLEMENTACION DE LAS ACTIVIDADES EN EL MARCO DE LOS PROGRAMAS PRIMERA INFANCIA, EL CENTRO DE LA SOCIEDAD; CRECE CONMIGO: UNA INFANCIA FELIZ Y CONSTRUCCIÓN DE ENTORNOS PARA UNA ADOLESCENCIA SANA IMPLEMENTADOS POR LA SECRETARIA DE DESARROLLO SOCIAL DE LA ALCALDÍA DE BUCARAMANGA</t>
  </si>
  <si>
    <t>VIVIANA RODRIGUEZ CABALLERO</t>
  </si>
  <si>
    <t>SDS-SDS-CPS-043-2023</t>
  </si>
  <si>
    <t>63519041</t>
  </si>
  <si>
    <t>PRESTAR SERVICIOS DE APOYO A LA GESTIÓN EN EL COMPONENTE PEDAGÓGICO EN CASA BÚHO DE LA SECRETARÍA DE DESARROLLO SOCIAL DEL MUNICIPIO DE BUCARAMANGA.</t>
  </si>
  <si>
    <t>YAMILE VILLAMIZAR SUAREZ</t>
  </si>
  <si>
    <t>SDS-SDS-CPS-066-2023</t>
  </si>
  <si>
    <t>1098638340</t>
  </si>
  <si>
    <t>PRESTAR SERVICIOS PROFESIONALES COMO EDUCADOR/A DE NIÑOS Y NIÑAS DEL PRIMERA INFANCIA E INFANCIA BENEFICIARIOS DE CASA BÚHO, ESPACIO DE CUIDADO ADSCRITO A LA SECRETARÍA DE DESARROLLO SOCIAL</t>
  </si>
  <si>
    <t>MARIA LUZ MONSALVE OSORIO</t>
  </si>
  <si>
    <t>SDS-SDS-CPS-062-2023</t>
  </si>
  <si>
    <t>43700537</t>
  </si>
  <si>
    <t>PRESTAR SERVICIOS PROFESIONALES COMO FISIOTERAPEUTA PARA APOYAR LOS PROCESOS DE ATENCIÓN INTEGRAL E INCLUSIÓN SOCIAL A LA POBLACIÓN CON DISCAPACIDAD BENEFICIARIA DEL MUNICIPIO DE BUCARAMANGA</t>
  </si>
  <si>
    <t>LORENA ISABEL ESTUPIÑAN VILLARREAL</t>
  </si>
  <si>
    <t>SDS-SDS-CPS-065-2023</t>
  </si>
  <si>
    <t>1098800527</t>
  </si>
  <si>
    <t>PRESTAR SERVICIOS PROFESIONALES COMO PSICÓLOGA PARA APOYAR LA IMPLEMENTACIÓN ESTRATEGIAS ORIENTADAS A LA GENERACIÓN DE ENTORNOS PROTECTORES Y FORTALECIMIENTO DE VÍNCULOS FAMILIARES ENTRE PADRES, MADRES E HIJOS, EL MARCO DE LOS PROGRAMAS PRIMERA INFANCIA, EL CENTRO DE LA SOCIEDAD; CRECE CONMIGO: UNA INFANCIA FELIZ Y CONSTRUCCIÓN DE ENTORNOS PARA UNA ADOLESCENCIA SANA IMPLEMENTADOS POR LA SECRETARIA DE DESARROLLO SOCIAL DEL MUNICIPIO DE BUCARAMANGA</t>
  </si>
  <si>
    <t>NUBIA CRUZ PAREDES</t>
  </si>
  <si>
    <t>SDS-SDS-CPS-055-2023</t>
  </si>
  <si>
    <t>37898217</t>
  </si>
  <si>
    <t>PRESTAR APOYO EN LA GESTIÓN DE ALIANZAS INSTITUCIONALES E IMPLEMENTACIÓN DE ESTRATEGIAS PARA FORTALECER CAPACIDADES Y COMPETENCIAS VINCULADAS A LA PRODUCTIVIDAD EN LOS GRUPOS DE POBLACIÓN VULNERABLES DE LOS DIFERENTES PROGRAMAS Y METAS DE LA SECRETARIA DE DESARROLLO SOCIAL DEL MUNICIPIO DE BUCARAMANGA</t>
  </si>
  <si>
    <t>RODOLFO GALINDO CARDENAS</t>
  </si>
  <si>
    <t>SDS-SDS-CPS-060-2023</t>
  </si>
  <si>
    <t>91209380</t>
  </si>
  <si>
    <t>PRESTAR SERVICIOS PROFESIONALES COMO ABOGADO (A) ESPECIALIZADO (A) PARA APOYAR LA GESTIÓN JURÍDICA, CONTRACTUAL Y ADMINISTRATIVA EN EL MARCO DEL PROYECTO “MEJORAMIENTO DE LOS PROCESOS TRANSVERSALES PARA UNA ADMINISTRACIÓN PÚBLICA MODERNA Y EFICIENTE EN LA SECRETARÍA DE DESARROLLO SOCIAL DEL MUNICIPIO BUCARAMANGA</t>
  </si>
  <si>
    <t>CARMEN LUCIA TRISTANCHO CEDIEL</t>
  </si>
  <si>
    <t>SDS-SDS-CPS-064-2023</t>
  </si>
  <si>
    <t>63286513</t>
  </si>
  <si>
    <t>PRESTAR SERVICIOS PROFESIONALES COMO ABOGADA PARA APOYAR EN LOS TEMAS JURÍDICOS DE CONOCIMIENTO DEL PROGRAMA DE DISCAPACIDAD DEL MUNICIPIO DE BUCARAMANGA.</t>
  </si>
  <si>
    <t>CAROLINA DEL PILAR SILVA PINTO</t>
  </si>
  <si>
    <t>SDS-SDS-CPS-040-2023</t>
  </si>
  <si>
    <t>1098763205</t>
  </si>
  <si>
    <t>PRESTAR SERVICIOS DE APOYO EN LOS DISTINTOS PROCESOS DE GESTION ADMINISTRATIVA EN EL MARCO DE LOS PROYECTOS “MEJORAMIENTO DE LOS PROCESOS TRANSVERSALES PARA UNA ADMINISTRACIÓN PUBLICA MODERNA Y EFICIENTE EN LA SECRETARÍA DE DESARROLLO SOCIAL DEL MUNICIPIO DE BUCARAMANGA”.</t>
  </si>
  <si>
    <t>DIANA CATALINA LAZARO JIMENEZ</t>
  </si>
  <si>
    <t>SDS-SDS-CPS-052-2023</t>
  </si>
  <si>
    <t>1096215540</t>
  </si>
  <si>
    <t>PRESTAR SERVICIOS PROFESIONALES COMO TRABAJADOR SOCIAL PARA APOYAR LA IMPLEMENTACIÓN DE LOS PROCESOS DEL COMPONENTE PSICOSOCIAL DEL PROYECTO CASA BÚHO ADSCRITO A LAS SDS DEL MUNICIPIO DE BUCARAMANGA.</t>
  </si>
  <si>
    <t>MARIA FERNANDA GOMEZ ANGARITA</t>
  </si>
  <si>
    <t>SDS-SDS-CPS-059-2023</t>
  </si>
  <si>
    <t>1095822416</t>
  </si>
  <si>
    <t>PRESTAR SERVICIOS COMO TÉCNICO LABORAL EN AUXILIAR DE ENFERMERÍA PARA LA ATENCIÓN A LA POBLACIÓN DE PRIMERA INFANCIA E INFANCIA DESDE EL COMPONENTE DE SALUD Y NUTRICIÓN EN CASA BÚHO DE LA SECRETARÍA DE DESARROLLO SOCIAL DEL MUNICIPIO DE BUCARAMANGA</t>
  </si>
  <si>
    <t>ANGIE PAOLA PRADO SOTO</t>
  </si>
  <si>
    <t>SDS-SDS-CPS-057-2023</t>
  </si>
  <si>
    <t>1064798325</t>
  </si>
  <si>
    <t>ADICIONAR EN VALOR Y TIEMPO EL CONVENIO DE ASOCIACIÓN NO 150- 2022,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</si>
  <si>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ASOCIACION VOLUNTARIA DE APOYO INTEGRAL AL ENFERMO DE CANCER AVAC</t>
  </si>
  <si>
    <t>2.3.2.02.02.009.4104008.93491.220</t>
  </si>
  <si>
    <t>SDS-SDS-CA-009-2022</t>
  </si>
  <si>
    <t>SERVICIO DE ATENCION Y PROTECCION INTEGRAL EL BIENESTAR DEL ADULTO MAYOR MUNICIPAL 220</t>
  </si>
  <si>
    <t>890203983</t>
  </si>
  <si>
    <t>PRESTAR SERVICIOS PROFESIONALES EN TRABAJO SOCIAL ORIENTADOS AL ACOMPAÑAMIENTO PSICOSOCIAL DE MUJERES Y PERSONAS SEXUALMENTE DIVERSAS, ASI COMO EL DESARROLLO DE PROCESOS DE INTERVENCIÓN COMUNITARIA Y ESTRATEGIAS DE PREVENCIÓN DENTRO DE LOS PROGRAMAS MAS EQUIDAD PARA LAS MUJERES Y BUCARAMANGA HÁBITAT PARA EL CIUDADO Y LA CORRESPONSABILIDAD, ADSCRITO A LA SECRETARIA DE DESARROLLO SOCIAL DEL MUNICIPIO DE BUCARAMANGA.</t>
  </si>
  <si>
    <t>NATALIA GOMEZ GARCIA</t>
  </si>
  <si>
    <t>2.3.2.02.02.009.4502038.91114.201</t>
  </si>
  <si>
    <t>SDS-SDS-CPS-070-2023</t>
  </si>
  <si>
    <t>SERVICIO DE PROMOCION DE LA GARANTIA DE DERECHOS 201</t>
  </si>
  <si>
    <t>1098774364</t>
  </si>
  <si>
    <t>ADICIONAR EN VALOR Y TIEMPO EL CONVENIO DE ASOCIACIÓN NO 152- 2022, CUYO OBJETO ES "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</si>
  <si>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ASILO DE ANCIANOS SAN ANTONIO</t>
  </si>
  <si>
    <t>2.3.2.02.02.009.4104008.93304.220</t>
  </si>
  <si>
    <t>SDS-SDS-CA-008-2022</t>
  </si>
  <si>
    <t>SERVICIO DE ATENCION Y PROTECCION INTEGRAL ESTAMPILLA PARA EL BIENESTAR DEL ADULTO MAYOR MUNICIPAL 220</t>
  </si>
  <si>
    <t>890201229</t>
  </si>
  <si>
    <t>ADICIONAR EN VALOR Y TIEMPO EL CONVENIO DE ASOCIACIÓN NO 151- 2022,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</si>
  <si>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ASILO SAN RAFAEL</t>
  </si>
  <si>
    <t>SDS-SDS-CA-007-2022</t>
  </si>
  <si>
    <t>890201317</t>
  </si>
  <si>
    <t>PRESTAR SERVICIOS PROFESIONALES AL INTERIOR DE LOS PROGRAMAS BUCARAMANGA, HÁBITAT PARA EL CUIDADO Y LA CORRESPONSABILIDAD Y MÁS EQUIDAD PARA LAS MUJERES APOYANDO LA COORDINACIÓN DE LAS ESTRATEGIAS ORIENTADAS AL BIENESTAR SOCIAL DE LA POBLACIÓN LGBTIQ DEL MUNICIPIO DE BUCARAMANGA.</t>
  </si>
  <si>
    <t>IVAN DARIO PRADA SERRANO</t>
  </si>
  <si>
    <t>SDS-SDS-CPS-068-2023</t>
  </si>
  <si>
    <t>1098729698</t>
  </si>
  <si>
    <t>PRESTAR SERVICIOS PROFESIONALES EN PSICOLOGÍA ORIENTADOS A LA PROMOCIÓN DE LOS SERVICIOS DE LOS PROGRAMAS MÁS EQUIDAD PARA LAS MUJERES Y BUCARAMANGA HÁBITAT PARA EL CUIDADO Y LA CORRESPONSABILIDAD ENFOCADO A VIOLENCIAS BASADAS EN GÉNERO DESDE EL COMPONENTE DE INTERVENCIÓN PSICOSOCIAL.</t>
  </si>
  <si>
    <t>SERGIO ORLANDO VILLAMIZAR SANCHEZ</t>
  </si>
  <si>
    <t>SDS-SDS-CPS-069-2023</t>
  </si>
  <si>
    <t>1005333669</t>
  </si>
  <si>
    <t>PRESTAR SERVICIOS PROFESIONALES EN TRABAJO SOCIAL PARA APOYAR INICIATIVAS ORIENTADAS A LA PREVENCIÓN DE VIOLENCIAS CONTRA NIÑOS Y NIÑAS, LA GENERACIÓN DE ENTORNOS PROTECTORES Y LA ACTIVACIÓN DE RUTAS EN EL MARCO DE LOS PROGRAMAS PRIMERA INFANCIA, EL CENTRO DE LA SOCIEDAD; CRECE CONMIGO: UNA INFANCIA FELIZ Y CONSTRUCCIÓN DE ENTORNOS PARA UNA ADOLESCENCIA SANA EN LA SECRETARIA DE DESARROLLO SOCIAL DEL MUNICIPIO DE BUCARAMANGA</t>
  </si>
  <si>
    <t>GLADYS PATRICIA TAMI JAIMES</t>
  </si>
  <si>
    <t>SDS-SDS-CPS-071-2023</t>
  </si>
  <si>
    <t>63308446</t>
  </si>
  <si>
    <t>PRESTAR SERVICIOS PROFESIONALES DE APOYO A LA COORDINACIÓN DE LOS PROGRAMAS MÁS EQUIDAD PARA LAS MUJERES Y BUCARAMANGA HÁBITAT PARA EL CUIDADO Y LA CORRESPONSABILIDAD DE LA SECRETARÍA DE DESARROLLO SOCIAL EN EL MUNICIPIO DE BUCARAMANGA DESDE EL COMPONENTE TÉCNICO Y SOCIAL.</t>
  </si>
  <si>
    <t>LAURA NICOLLE ARDILA BLANCO</t>
  </si>
  <si>
    <t>SDS-SDS-CPS-072-2023</t>
  </si>
  <si>
    <t>1100961267</t>
  </si>
  <si>
    <t>ADICIONAR EN VALOR Y TIEMPO EL CONVENIO DE ASOCIACIÓN NO 150- 2022,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</si>
  <si>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ADICIONAR EN VALOR Y TIEMPO EL CONVENIO DE ASOCIACIÓN NO 153- 2022,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</si>
  <si>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SDS-SDS-CA-003-2022</t>
  </si>
  <si>
    <t>ADICIONAR EN VALOR Y TIEMPO EL CONVENIO DE ASOCIACIÓN NO 153- 2022,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</si>
  <si>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ADICIONAR EN VALOR Y TIEMPO EL CONVENIO DE ASOCIACIÓN NO 154- 2022,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</si>
  <si>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FUNDACION HOGAR GERIATRICO LUZ DE ESPERANZA</t>
  </si>
  <si>
    <t>SDS-SDS-CA-010-2022</t>
  </si>
  <si>
    <t>804016326</t>
  </si>
  <si>
    <t>ADICIONAR EN VALOR Y TIEMPO EL CONVENIO DE ASOCIACIÓN NO 155- 2022, CUYO OBJETO ES " AUNAR ESFUERZOS PARA LA ASISTENCIA Y ATENCIÓN INTEGRAL DE LAS PERSONAS MAYORES EN CONDICIONES DE VULNERABILIDAD A TRAVÉS DEL DESARROLLO DE LOS PROGRAMAS CENTRO VIDA Y CENTRO DE BIENESTAR EN EL MARCO DE LA ESTAMPILLA DEPARTAMENTAL Y MUNICIPAL PARA EL BIENESTAR DEL ADULTO MAYOR "</t>
  </si>
  <si>
    <t>FUNDACION CRISTO REDENTOR</t>
  </si>
  <si>
    <t>SDS-SDS-CA-001-2022</t>
  </si>
  <si>
    <t>804011531</t>
  </si>
  <si>
    <t>ADICIONAR EN VALOR Y TIEMPO EL CONVENIO DE ASOCIACIÓN NO 156- 2022,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</si>
  <si>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FUNDACION ALBEIRO VARGAS Y ANGELES CUSTODIOS</t>
  </si>
  <si>
    <t>SDS-SDS-CA-012-2022</t>
  </si>
  <si>
    <t>800169294</t>
  </si>
  <si>
    <t>ADICIONAR EN VALOR Y TIEMPO EL CONVENIO DE ASOCIACIÓN NO 158- 2022,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</si>
  <si>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FUNDACION DE LAS TINIEBLAS A LA LUZ</t>
  </si>
  <si>
    <t>SDS-SDS-CA-004-2022</t>
  </si>
  <si>
    <t>804008381</t>
  </si>
  <si>
    <t>ADICIONAR EN VALOR Y TIEMPO EL CONVENIO DE ASOCIACIÓN NO 159- 2022,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</si>
  <si>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FUNDACION CASA DE CARIDAD SANTA RITA DE CASIA</t>
  </si>
  <si>
    <t>SDS-SDS-CA-005-2022</t>
  </si>
  <si>
    <t>804008547</t>
  </si>
  <si>
    <t>ADICIONAR EN VALOR Y TIEMPO EL CONVENIO DE ASOCIACIÓN NO 160- 2022,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</si>
  <si>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SDS-SDS-CA-006-2022</t>
  </si>
  <si>
    <t>ADICIONAR EN VALOR Y TIEMPO EL CONVENIO DE ASOCIACIÓN NO 161- 2022,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</si>
  <si>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FUNDACION CENTRO DIA TERESA DE JESUS</t>
  </si>
  <si>
    <t>SDS-SDS-CA-011-2022</t>
  </si>
  <si>
    <t>900632931</t>
  </si>
  <si>
    <t>ADICIONAR EN TIEMPO Y VALOR EL CONVENIO DE ASOCIACIÓN NO 109 DEL 2022 CUYO OBJETO CONTRACTUAL ES " REALIZAR EL PROCESO DE HABILITACIÓN Y REHABILITACIÓN INTEGRAL A NIÑOS, NIÑAS Y ADOLESCENTES CON DISCAPACIDAD MÚLTIPLE, INTELECTUAL Y DEL TRASTORNO DEL ESPECTRO AUTISTA DEL MUNICIPIO DE BUCARAMANGA A TRAVÉS DE LA NEUROREHABILITACIÓN, HABILITACIÓN PSICOMOTRIZ, COGNITIVA Y ENFOQUE TERAPÉUTICO ABA; CON EL FIN DE MEJORAR SU CALIDAD DE VIDA Y PROPENDER POR SU FUNCIONALIDAD, INDEPENDENCIA E INCLUSIÓN SOCIAL"</t>
  </si>
  <si>
    <t>ASOCIACION SANTANDEREANA PRONIÑO RETARDADO MENTAL ASOPORMEN</t>
  </si>
  <si>
    <t>SDS-SDS-PC-109-2022</t>
  </si>
  <si>
    <t>890201397</t>
  </si>
  <si>
    <t>ADICIONAR EN TIEMPO Y VALOR EL CONVENIO DE ASOCIACIÓN NO 118 DEL 2022 CUYO OBJETO CONTRACTUAL ES " ATENCIÓN INTEGRAL E INCLUSIÓN SOCIAL EN ESCENARIOS DE PROMOCIÓN DE LAS PERSONAS EN HABITABILIDAD EN CALLE EN EL MUNICIPIO DE BUCARAMANGA</t>
  </si>
  <si>
    <t>SDS-SDS-PC-118-2022</t>
  </si>
  <si>
    <t>PAGO DE SERVICIO PÚBLICO DE ENERGÍA ELÉCTRICA DE LOS CENTROS VIDAS AÑOS MARAVILLOSOS, ALVAREZ, KENNEDY POR EL PERIODO COMPRENDIDO DE DICIEMBRE 01 AL 31 DEL 2022, SEGÚN FACTURAS DE SERVICIOS 202493458 - 202493192 - 202491468</t>
  </si>
  <si>
    <t>PRESTAR SERVICIOS DE APOYO A LA GESTIÓN EN CASA BÚHO ESPACIO DE CUIDADO ADSCRITO A LA SECRETARÍA DE DESARROLLO SOCIAL DEL MUNICIPIO DE BUCARAMANGA</t>
  </si>
  <si>
    <t>LEIDY MABEL SOCHA RINCON</t>
  </si>
  <si>
    <t>SDS-SDS-CPS-074-2023</t>
  </si>
  <si>
    <t>63526688</t>
  </si>
  <si>
    <t>PRESTAR SERVICIOS COMO TÉCNICO LABORAL EN AUXILIAR DE ENFERMERÍA PAR LA ATENCIÓN A LA POBLACIÓN DE PRIMERA INFANCIA E INFANCIA DESDE EL COMPONENTE DE SALUD Y NUTRICIÓN EN CASA BÚHO DE LA SECRETARÍA DE DESARROLLO SOCIAL DEL MUNICIPIO DE BUCARAMANGA.</t>
  </si>
  <si>
    <t>GINA ANDREA ANGARITA LOPEZ</t>
  </si>
  <si>
    <t>SDS-SDS-CPS-073-2023</t>
  </si>
  <si>
    <t>1094574598</t>
  </si>
  <si>
    <t>PRESTAR SERVICIOS PROFESIONALES EN TRABAJO SOCIAL ORIENTADOS LA IMPLEMENTACIÓN DE LAS POLÍTICAS PUBLICAS DE MUJER Y POBLACIÓN CON ORIENTACIONES SEXUALES DIVERSAS, LA PARTICIPACIÓN SOCIAL, COMUNITARIA Y POLÍTICA EN EL MUNICIPIO DE BUCARAMANGA</t>
  </si>
  <si>
    <t>MATEO FRANCO QUIJANO</t>
  </si>
  <si>
    <t>SDS-SDS-CPS-076-2023</t>
  </si>
  <si>
    <t>1102550110</t>
  </si>
  <si>
    <t>ADICIONAR EN TIEMPO Y VALOR EL CONVENIO DE ASOCIACIÓN NO 254 DEL 2022 CUYO OBJETO
CONTRACTUAL ES " BRINDAR ATENCIÓN INTEGRAL E INCLUSIÓN SOCIAL EN HOGAR DE PASO DÍA Y NOCHE A LOS CIUDADANOS EN HABITABILIDAD EN CALLE DEL MUNICIPIO DE BUCARAMANGA"</t>
  </si>
  <si>
    <t>SDS-SDS-CA-013-2022-01</t>
  </si>
  <si>
    <t>PRESTAR SERVICIOS PROFESIONALES PARA APOYAR LA GESTIÓN PRESUPUESTAL COMO ADMINISTRADORA DE EMPRESAS EN EL MARCO DEL PROYECTO “MEJORAMIENTO DE LOS PROCESOS TRANSVERSALES PARA UNA ADMINISTRACIÓN PUBLICA MODERNA Y EFICIENTE EN LA SECRETARÍA DE DESARROLLO SOCIAL DEL MUNICIPIO BUCARAMANGA</t>
  </si>
  <si>
    <t>MARIA ALICIA NAVARRO ALBA</t>
  </si>
  <si>
    <t>SDS-SDS-CPS-078-2023</t>
  </si>
  <si>
    <t>37723405</t>
  </si>
  <si>
    <t>PRESTAR SERVICIOS PROFESIONALES COMO PSICOLOGA PARA APOYAR LA IMPLEMENTACIÓN DE ESTRATEGIAS ORIENTADAS A LA GENERACION DE ENTORNOS PROTECTORES PARA NIÑOS Y NIÑAS, EN EL MARCO DE LOS PROGRAMAS A) PRIMERA INFANCIA, EL CENTRO DE LA SOCIEDAD, B) CRECE CONMIGO: UNA INFANCIA FELIZ, Y C) CONSTRUCCIÓN DE ENTORNOS PARA UNA ADOLESCENCIA SANA, ADSCRITOS A LA SECRETARIA DE DESARROLLO SOCIAL</t>
  </si>
  <si>
    <t>DIANA MILENA CASTILLO LEON</t>
  </si>
  <si>
    <t>SDS-SDS-CPS-075-2023</t>
  </si>
  <si>
    <t>37724751</t>
  </si>
  <si>
    <t>PAGO DE SERVICIO DE ENERGÍA ELÉCTRICA DE LAS AGORA LA FERIA,GAITAN,SAN MIGUEL,BUCARAMANGA, BELLAVISTA CORRESPONDIENTE AL PERIODO DE DICIEMBRE 01 AL 31 DEL 2022,SEGÚN FACTURA NO 202491796- 202491776 - 202493466-202493373-202493283</t>
  </si>
  <si>
    <t>2.3.2.02.02.009.4502001.91114.201</t>
  </si>
  <si>
    <t>PAGO DE SERVICIO DE TELEFONÍA MÓVIL DE LOS PROGRAMAS FORTALECIMIENTO DE LAS INSTITUCIONES DEMOCRÁTICAS Y CUIDADANA PARTICIPATIVA,ACELERADORES DE DESARROLLO SOCIAL,ADULTO MAYOR Y DIGNO POR EL PERIODO DE (26-OCTUBRE HASTA 25-NOVIEMBRE -2022) SEGÚN FACTURA ELECTRÓNICA DE VENTA NO E 5635791024</t>
  </si>
  <si>
    <t>COMCEL S A</t>
  </si>
  <si>
    <t>800153993</t>
  </si>
  <si>
    <t>2.3.2.02.02.009.4103050.91114.201</t>
  </si>
  <si>
    <t>SERVICIO DE ACOMPAÑAMIENTO FAMILIAR Y COMUNITARIO PARA LA SUPERACION DE LA POBREZA 201</t>
  </si>
  <si>
    <t>PRESTAR SERVICIOS PROFESIONALES COMO ABOGADA PARA EL FORTALECIMIENTO DE LAS ACCIONES ATENCIÓN JURÍDICA Y PREVENCIÓN DENTRO DE LOS PROGRAMAS MAS EQUIDAD PARA LAS MUJERES Y BUCARAMANGA HÁBITAT PARA EL CIUDADO Y LA CORRESPONSABILIDAD PARA LA ATENCIÓN DE LA POBLACIÓN SEXUALMENTE DIVERSA DESDE LA SECRETARIA DE DESARROLLO SOCIAL DEL MUNICIPIO DE BUCARAMANGA.</t>
  </si>
  <si>
    <t>KAREN ESTEFANNI PEREZ ALVAREZ</t>
  </si>
  <si>
    <t>SDS-SDS-CPS-077-2023</t>
  </si>
  <si>
    <t>1098739603</t>
  </si>
  <si>
    <t>ADICIONAR EN VALOR Y TIEMPO EL CONVENIO DE ASOCIACIÓN NO 157- 2022,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</si>
  <si>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CENTRO DE BIENESTAR DEL ANCIANO</t>
  </si>
  <si>
    <t>SDS-SDS-CA-002-2022</t>
  </si>
  <si>
    <t>890203963</t>
  </si>
  <si>
    <t>PRESTAR SERVICIOS PROFESIONALES COMO PSICOLOGA AL INTERIOR DE LOS PROGRAMAS MAS EQUIDAD PARA LAS MUJERES Y BUCARAMANGA HÁBITAT PARA EL CUIDADO Y LA CORRESPONSABILIDAD APOYANDO LA COORDINACIÓN GENERAL DEL CENTRO INTEGRAL DE LA MUJER DEL MUNICIPIO DE BUCARAMANGA</t>
  </si>
  <si>
    <t>KARLA JINARY CORREDOR GUERRERO</t>
  </si>
  <si>
    <t>SDS-SDS-CPS-082-2023</t>
  </si>
  <si>
    <t>1098772312</t>
  </si>
  <si>
    <t>PRESTAR SERVICIOS DE APOYO A LA GESTIÓN AL INTERIOR DE LOS PROGRAMAS BUCARAMANGA, HÁBITAT PARA EL CUIDADO Y LA CORRESPONSABILIDAD Y MÁS EQUIDAD PARA LAS MUJERES ACOMPAÑANDO LAS ESTRATEGIAS ORIENTADAS AL BIENESTAR DE LA POBLACIÓN SEXUALMENTE DIVERSA DE BUCARAMANGA</t>
  </si>
  <si>
    <t>FELIPE LEYVA ALDANA</t>
  </si>
  <si>
    <t>SDS-SDS-CPS-080-2023</t>
  </si>
  <si>
    <t>1095834603</t>
  </si>
  <si>
    <t>PRESTAR SERVICIOS PROFESIONALES EN TRABAJO SOCIAL ORIENTADOS AL ACOMPAÑAMIENTO PSICOSOCIAL DE LA POBLACIÓN SEXUALMENTE DIVERSA, DESDE ACCIONES PARA EL RECONOCIMIENTO, EL RESPETO E INCLUSIÓN SOCIAL EN EL MUNICIPIO DE BUCARAMANGA</t>
  </si>
  <si>
    <t>YIRA ISABEL MIRANDA MONTERO</t>
  </si>
  <si>
    <t>SDS-SDS-CPS-079-2023</t>
  </si>
  <si>
    <t>1098716291</t>
  </si>
  <si>
    <t>PRESTAR SERVICIOS PROFESIONALES EN PSICOLOGÍA ORIENTADOS A LA PROMOCIÓN DE LOS SERVICIOS DE LOS PROGRAMAS MAS EQUIDAD PARA LAS MUJERES Y BUCARAMANGA HÁBITAT PARA LA INTERVENCIÓN PSICOSOCIAL A LA POBLACIÓN SEXUALMENTE DIVERSA.</t>
  </si>
  <si>
    <t>DIANA XIMENA CARREÑO MAYORGA</t>
  </si>
  <si>
    <t>SDS-SDS-CPS-081-2023</t>
  </si>
  <si>
    <t>1098753504</t>
  </si>
  <si>
    <t>CINDY JULEXY NUÑEZ VARGAS</t>
  </si>
  <si>
    <t>SDS-SDS-CPS-083-2023</t>
  </si>
  <si>
    <t>1098641055</t>
  </si>
  <si>
    <t>PRESTAR SERVICIOS PROFESIONALES EN TRABAJO SOCIAL ORIENTADOS AL ACOMPAÑAMIENTO PSICOSOCIAL DE MUJERES Y POBLACIÓN SEXUALMENTE DIVERSA, ACCIONES DE ARTICULACIÓN PARA EL ACCESO A SUS DERECHOS A TRAVÉS DE LA ARTICULACIÓN INTERINSTITUCIONAL, EL FORTALECIMIENTO DE REDES FAMILIARES Y COMUNITARIAS A TRAVÉS DEL CENTRO INTEGRAL DE LA MUJER DEL MUNICIPIO DE BUCARAMANGA.</t>
  </si>
  <si>
    <t>JENNY CAROLINA VASCO ALZATE</t>
  </si>
  <si>
    <t>SDS-SDS-CPS-085-2023</t>
  </si>
  <si>
    <t>1053780612</t>
  </si>
  <si>
    <t>PRESTAR SERVICIOS PROFESIONALES PARA LA IMPLEMENTACION DE INICIATIVAS DE LA SECRETARÍA DE DESARROLLO SOCIAL EN LAS QUE SE FOMENTE EL USO ADECUADO DEL TIEMPO LIBRE, LA LUDICA, LA RECREACIÓN Y ENTORNOS PROTECTORES PARA NIÑOS, NIÑAS Y ADOLESCENTES DEL MUNICIPIO DE BUCARAMANGA A ESPACIOS.</t>
  </si>
  <si>
    <t>EDWIN ALBERTO BLANCO  PORTILLA</t>
  </si>
  <si>
    <t>SDS-SDS-CPS -084-2023</t>
  </si>
  <si>
    <t>91540278</t>
  </si>
  <si>
    <t>PRESTAR SERVICIOS PROFESIONALES EN PSICOLOGÍA ORIENTADOS A LA PROMOCIÓN DE LOS SERVICIOS DE LOS PROGRAMAS MAS EQUIDAD PARA LAS MUJERES Y BUCARAMANGA HÁBITAT PARA EL CUIDADO Y LA CORRESPONSABILIDAD EN LA ZONA NORTE DE LA CIUDAD DESDE EL COMPONENTE DE INTERVENCIÓN PSICOSOCIAL.</t>
  </si>
  <si>
    <t>JUAN  DAVID BAUTISTA  GARCES</t>
  </si>
  <si>
    <t>SDS-SDS-CPS-086-2023</t>
  </si>
  <si>
    <t>1036669862</t>
  </si>
  <si>
    <t>PRESTAR SERVICIOS DE APOYO LOGÍSTICO Y ADMINISTRATIVO A LA GESTIÓN PARA EL ACOMPAÑAMIENTO DE LAS DIFERENTES ACTIVIDADES REQUERIDAS PARA LA ATENCIÓN INTEGRAL DE LA POBLACIÓN CON DISCAPACIDAD EN EXTREMA VULNERABILIDAD Y COADYUVAR EN LA GESTIÓN ADMINISTRATIVA DEL MUNICIPIO DE BUCARAMANGA, SANTANDER</t>
  </si>
  <si>
    <t>MARIA EUGENIA CORREA ARDILA</t>
  </si>
  <si>
    <t>SDS-SDS-CPS-087-2023</t>
  </si>
  <si>
    <t>63363950</t>
  </si>
  <si>
    <t xml:space="preserve">PRESTAR SERVICIOS PROFESIONALES COMO ABOGADO(A) PARA LA IMPLEMENTACIÓN DE ACCIONES ORIENTADAS A LA GARANTÍA DE DERECHOS DE NIÑOS(AS) Y LA PUESTA EN FUNCIONAMIENTO DE LA CASA BÚHO, EL MARCO DE LOS PROGRAMAS PRIMERA INFANCIA, EL CENTRO DE LA SOCIEDAD; CRECE CONMIGO: UNA INFANCIA FELIZ Y DE LA SECRETARIA DE DESARROLLO SOCIAL DEL MUNICIPIO DE BUCARAMANGA
</t>
  </si>
  <si>
    <t>PAULA  ANDREA CAMACHO JAIMES</t>
  </si>
  <si>
    <t>SDS-SDS-CPS-090-2023</t>
  </si>
  <si>
    <t>1098767615</t>
  </si>
  <si>
    <t>ADICIONAL NO 3 DEL CONTRATO NO 52 CON OBJETO SERVICIO EXEQUIAL DIRIGIDA A (I) NIÑOS, NIÑAS Y ADOLESCENTES, (II) PERSONAS MAYORES, (III) POBLACION HABITANTE DE CALLE, EN SITUACION DE VULNERABILIDAD, POBREZA O EXTREMA POBREZA, ENTRE OTRAS, E INHUMACION Y EXHUMACION DE CADAVERES NO IDENTIFICADOS (N.N.) O NO RECLAMADOS DEL MUNICIPIO DE BUCARAMANGA</t>
  </si>
  <si>
    <t>DAVID ORDOÑEZ PICO</t>
  </si>
  <si>
    <t>SDS-SDS-CPS-089-2023</t>
  </si>
  <si>
    <t>91507140</t>
  </si>
  <si>
    <t>ANGELA DEL ROSARIO FORERO OROZCO</t>
  </si>
  <si>
    <t>SDS-SDS-CPS-088-2023</t>
  </si>
  <si>
    <t>63355918</t>
  </si>
  <si>
    <t>PRESTAR SERVICIOS DE APOYO A LA GESTIÓN EN LA PROMOCIÓN DE LA OFERTA INSTITUCIONAL DEL PROGRAMA MUJERES Y EQUIDAD DE GÉNEROS CON LA POBLACION SEXUALMENTE DIVERSA Y LAS MUJERES DEL MUNICIPIO DE BUCARAMANGA.</t>
  </si>
  <si>
    <t>MONICA VICTORIA NITOLA FERNANDEZ</t>
  </si>
  <si>
    <t>SDS-SDS-CPS-092-2023</t>
  </si>
  <si>
    <t>1102389226</t>
  </si>
  <si>
    <t>PRESTAR SERVICIOS PROFESIONALES EN COMUNICACIÓN ORIENTADOS A LA VISIBILIZACIÓN, PROMOCIÓN Y CONVOCATORIA Y ESTRATEGIAS COMUNICATIVAS DEL PROGRAMA MUJER Y EQUIDAD DE GÉNEROS DEL MUNICIPIO DE BUCARAMANGA</t>
  </si>
  <si>
    <t>SANTIAGO OLIVARES  TORRES</t>
  </si>
  <si>
    <t>SDS-SDS-CPS-091-2023</t>
  </si>
  <si>
    <t>1098806696</t>
  </si>
  <si>
    <t>PRESTAR SERVICIOS PROFESIONALES EN LA ATENCIÓN Y RECOLECCIÓN DE DATOS PARA IDENTIFICAR A LA POBLACIÓN AFECTADA POR LAS DIFERENTES SITUACIONES DE EMERGENCIAS SOCIALES, SANITARIAS, NATURALES ANTROPICAS Y DE VULNERABILIDAD EN EL MUNICIPIO DE BUCARAMANGA CON EL PROPÓSITO DE TERRITORIALIZAR LA OFERTA INSTITUCIONAL</t>
  </si>
  <si>
    <t>JORGE HUMBERTO MORENO MANRIQUE</t>
  </si>
  <si>
    <t>2.3.2.02.02.009.4103052.91119.201</t>
  </si>
  <si>
    <t>SDS-SDS-CPS-094-2023</t>
  </si>
  <si>
    <t>SERVICIO DE GESTION DE OFERTA SOCIAL PARA LA POBLACION VULNERABLE 201</t>
  </si>
  <si>
    <t>1096957923</t>
  </si>
  <si>
    <t>PRESTAR SERVICIOS PROFESIONALES EN LA RECOLECCIÓN DE DATOS DE LA POBLACIÓN VULNERABLE, INCLUIDA POBLACIÓN MIGRANTE VENEZOLANA DEL MUNICIPIO DE BUCARAMANGA CON EL PROPÓSITO DE TERRITORIALIZAR LA OFERTA INSTITUCIONAL</t>
  </si>
  <si>
    <t>YENY CAROLINA PABON ALVAREZ</t>
  </si>
  <si>
    <t>SDS-SDS-CPS-093-2023</t>
  </si>
  <si>
    <t>37285565</t>
  </si>
  <si>
    <t>YOHANA MARITZA CASTELLANOS GELVEZ</t>
  </si>
  <si>
    <t>SDS-SDS-CPS-095-2023</t>
  </si>
  <si>
    <t>37751006</t>
  </si>
  <si>
    <t>PRESTAR SERVICIOS PROFESIONALES PARA APOYAR LAS ACTIVIDADES RELACIONADAS CON EL SISTEMA DE INFORMACIÓN SIFA EN EL COMPONENTE DE SALUD DEL PROGRAMA MAS FAMILIA EN ACCIÓN</t>
  </si>
  <si>
    <t>LILIAM TERESA CALDERON APONTE</t>
  </si>
  <si>
    <t>SDS-SDS-CPS-098-2023</t>
  </si>
  <si>
    <t>63490779</t>
  </si>
  <si>
    <t>PRESTAR SERVICIOS PROFESIONALES PARA APOYAR LAS DIVERSAS ACTIVIDADES DEL PROGRAMA FAMILIAS EN ACCIÓN ESPECIALMENTE LAS RELACIONADAS CON EL COMPONENTE DE BIENESTAR COMUNITARIO</t>
  </si>
  <si>
    <t>LEONARDO FABIO ULLOA  RANGEL</t>
  </si>
  <si>
    <t>SDS-SDS-CPS-110-2023</t>
  </si>
  <si>
    <t>1098707363</t>
  </si>
  <si>
    <t>PRESTAR SERVICIOS PROFESIONALES PARA BRINDAR APOYO JURIDICO AL PROGRAMA FORTALECIMIENTO DE LAS INSTITUCIONES DEMOCRÁTICAS Y CIUDADANÍA PARTICIPATIVA DEL MUNICIPIO DE BUCARAMANGA ESPECIALMENTE EN LA ATENCIÓN A JUNTAS DE ACCIÓN COMUNAL Y JUNTAS ADMINISTRADORAS LOCALES.</t>
  </si>
  <si>
    <t>FIDEL ANDRES PABON RODRIGUEZ</t>
  </si>
  <si>
    <t>SDS-SDS-CPS-100-2023</t>
  </si>
  <si>
    <t>1095814325</t>
  </si>
  <si>
    <t>HERSON  REINALDO MATEUS CACERES</t>
  </si>
  <si>
    <t>SDS-SDS-CPS-106-2023</t>
  </si>
  <si>
    <t>1098667237</t>
  </si>
  <si>
    <t>PRESTAR SERVICIOS PROFESIONALES PARA BRINDAR APOYO JURÍDICO AL PROGRAMA FORTALECIMIENTO DE LAS INSTITUCIONES DEMOCRÁTICAS Y CIUDADANÍA PARTICIPATIVA DEL MUNICIPIO DE BUCARAMANGA ESPECIALMENTE EN LA ATENCIÓN A JUNTAS DE ACCIÓN COMUNAL Y JUNTAS ADMINISTRADORAS LOCALES</t>
  </si>
  <si>
    <t>SHARITH DARIENNY POVEDA REYES</t>
  </si>
  <si>
    <t>SDS-SDS-CPS-101-2023</t>
  </si>
  <si>
    <t>1102042668</t>
  </si>
  <si>
    <t>PRESTAR SERVICIOS PROFESIONALES PARA APOYAR EL DESARROLLO DE LA ESTRATEGIA DE PARTICIPACIÓN DEMOCRÁTICA Y EL FORTALECIMIENTO DE LOS LIDERAZGOS JUVENILES PARA EL DESARROLLO INTEGRAL Y EL EMPRENDIMIENTO.</t>
  </si>
  <si>
    <t>LUIS  ANTONIO SANCHEZ SARMIENTO</t>
  </si>
  <si>
    <t>SDS-SDS-CPS-099-2023</t>
  </si>
  <si>
    <t>1098757653</t>
  </si>
  <si>
    <t>PRESTAR SERVICIOS DE APOYO A LA GESTIÓN PARA APOYAR LA OPERATIVIDAD ADMINISTRATIVA DEL PROGRAMA“COLOMBIA MAYOR” Y EL PROGRAMA ADULTO MAYOR Y DIGNO ADSCRITO A LA SECRETARÍA DE DESARROLLO SOCIAL.</t>
  </si>
  <si>
    <t>IGNACIO CORZO MOLINA</t>
  </si>
  <si>
    <t>2.3.2.02.02.009.4104008.93491.201</t>
  </si>
  <si>
    <t>SDS-SDS-CPS-096-2023</t>
  </si>
  <si>
    <t>91220471</t>
  </si>
  <si>
    <t>PRESTAR SERVICIOS PROFESIONALES PARA BRINDAR APOYO JURÍDICO AL PROGRAMA FORTALECIMIENTO DE LAS INSTITUCIONES DEMOCRÁTICAS Y CIUDADANÍA PARTICIPATIVA DEL MUNICIPIO DE BUCARAMANGA ESPECIALMENTE LA ATENCIÓN A JUNTAS DE ACCIÓN COMUNAL Y JUNTAS ADMINISTRADORAS LOCALES.</t>
  </si>
  <si>
    <t>LAURA JULIANA TARAZONA HERNANDEZ</t>
  </si>
  <si>
    <t>SDS-SDS-CPS-105-2023</t>
  </si>
  <si>
    <t>1098221487</t>
  </si>
  <si>
    <t>PRESTAR SERVICIOS DE APOYO A LA GESTIÓN EN LA ATENCIÓN Y ORIENTACIÓN AL CIUDADANO ESPECIALMENTE LOS USUARIOS DE LOS SALONES COMUNALES Y APOYO LOGÍSTICO PARA PARA LA SOCIALIZACIÓN DE LOS PROGRAMAS SOCIALES DE LA SECRETARIA DE DESARROLLO SOCIAL DEL MUNICIPIO DE BUCARAMANGA ÀGORA</t>
  </si>
  <si>
    <t>DIANA MATILDE GOMEZ GOMEZ</t>
  </si>
  <si>
    <t>SDS-SDS-CPS-107-2023</t>
  </si>
  <si>
    <t>63532110</t>
  </si>
  <si>
    <t>PRESTAR SERVICIOS PROFESIONALES PARA APOYAR LA COORDINACIÓN Y DESARROLLO DE LA ESTRATEGIA DE PARTICIPACIÓN DEMOCRÁTICA Y EL FORTALECIMIENTO DE LOS LIDERAZGOS JUVENILES PARA EL DESARROLLO INTEGRAL Y EL EMPRENDIMIENTO</t>
  </si>
  <si>
    <t>MAYRA EYIXET CASTRO BAUTISTA</t>
  </si>
  <si>
    <t>SDS-SDS-CPS-103-2023</t>
  </si>
  <si>
    <t>1098734428</t>
  </si>
  <si>
    <t>PRESTAR SERVICIOS PROFESIONALES Y DE APOYO A LA COORDINACIÓN PARA BRINDAR ATENCIÓN PSICOSOCIAL EN LA INMERSIÓN Y MATERIALIZACIÓN DE LA ESTRATEGIA DE PARTICIPACIÓN CIUDADANA EN EL MUNICIPIO DE BUCARAMANGA</t>
  </si>
  <si>
    <t>CRISTIAN  ARLEY RUIZ  ROLDAN</t>
  </si>
  <si>
    <t>SDS-SDS-CPS-102-2023</t>
  </si>
  <si>
    <t>1098758458</t>
  </si>
  <si>
    <t>PRESTAR SERVICIOS PROFESIONALES PARA BRINDAR APOYO PSICOSOCIAL EN LA INMERSIÓN Y MATERIALIZACIÓN DE LA ESTRATEGIA DE PARTICIPACIÓN CIUDADANA EN EL MUNICIPIO DE BUCARAMANGA</t>
  </si>
  <si>
    <t>ANGIE CAROLINA VILLAMIZAR CARVAJAL</t>
  </si>
  <si>
    <t>SDS-SDS-CPS-104-2023</t>
  </si>
  <si>
    <t>1102382413</t>
  </si>
  <si>
    <t>PRESTAR LOS SERVICIOS DE APOYO LOGÍSTICO EN LOS DIFERENTES EVENTOS Y ACTIVIDADES DESARROLLADAS POR LA SECRETARIA DE DESARROLLO SOCIAL</t>
  </si>
  <si>
    <t>JHON JAIRO GUARIN ARENAS</t>
  </si>
  <si>
    <t>SDS-SDS-CPS-108-2023</t>
  </si>
  <si>
    <t>1098780305</t>
  </si>
  <si>
    <t>PRESTAR SERVICIOS DE APOYO A LA GESTIÓN PARA LA COORDINACIÓN, GESTIÓN E IMPLEMENTACIÓN DE LAS ACTIVIDADES INTEGRALES DEL CENTRO VIDA ÁLVAREZ, ADSCRITO AL MUNICIPI</t>
  </si>
  <si>
    <t>JOSE LUIS SANCHEZ RODRIGUEZ</t>
  </si>
  <si>
    <t>SDS-SDS-CPS-111-2023</t>
  </si>
  <si>
    <t>1098677196</t>
  </si>
  <si>
    <t>PRESTAR SERVICIOS DE APOYO A LA GESTIÓN EN LA ATENCIÓN Y ORIENTACIÓN AL CIUDADANO Y ORGANIZACIONES COMUNALES DENTRO DEL PROGRAMA INSTITUCIONES DEMOCRÁTICAS Y CIUDADANÍA PARTICIPATIVA Y APOYO LOGÍSTICO PARA LA SOCIALIZACIÓN DE LOS PROGRAMAS SOCIALES DE LA SECRETARIA DE DESARROLLO SOCIAL DEL MUNICIPIO DE BUCARAMANGA</t>
  </si>
  <si>
    <t>JOSE LUIS LIZCANO MORENO</t>
  </si>
  <si>
    <t>SDS-SDS-CPS-097-2023</t>
  </si>
  <si>
    <t>13743760</t>
  </si>
  <si>
    <t>PRESTAR LOS SERVICIOS PROFESIONALES PARA EL ENLACE, GESTIÓN Y ATENCIÓN A LAS DIFERENTES ESTRATEGIAS QUE SE COORDINAN CON LOS DIFERENTES ÓRGANOS DE COOPERACIÓN INTERNACIONAL, EN EL MARCO DE LAS ACTIVIDADES DE LA SECRETARÍA DE DESARROLLO SOCIAL.</t>
  </si>
  <si>
    <t>LUIS GABRIEL CASTRO CURBELO</t>
  </si>
  <si>
    <t>SDS-SDS-CPS-112-2023</t>
  </si>
  <si>
    <t>1121929263</t>
  </si>
  <si>
    <t>PRESTAR SERVICIOS PROFESIONALES COMO PSICÓLOGA ESPECIALISTA EN DERECHOS HUMANOS PARA LA COORDINACIÓN, GESTIÓN Y DESARROLLO DE LAS ACTIVIDADES DEL PROGRAMA ADULTO MAYOR Y DIGNO PROMOVIENDO LA GARANTÍA Y RESTABLECIMIENTO DE DERECHOS DE LAS PERSONAS MAYORES VULNERABLES DEL MUNICIPIO DE BUCARAMANGA.</t>
  </si>
  <si>
    <t>ANGELICA MARIA ALCARAZ MACIAS</t>
  </si>
  <si>
    <t>SDS-SDS-CPS-109-2023</t>
  </si>
  <si>
    <t>1098703182</t>
  </si>
  <si>
    <t>PRESTAR SERVICIOS PROFESIONALES APOYANDO EL DESARROLLO DE ACCIONES Y ACTIVIDADES EN TRABAJO SOCIAL PARA PROCURAR LA PROTECCIÓN, PROMOCIÓN Y DEFENSA DE LOS DERECHOS DE LAS PERSONAS MAYORES EN CONDICIÓN DE VULNERABILIDAD Y/O ADSCRITOS A LOS CENTROS VIDA DEL MUNICIPIO.</t>
  </si>
  <si>
    <t>HILLARY HISETH NAVAS DIAZ</t>
  </si>
  <si>
    <t>SDS-SDS-CPS-116-2023</t>
  </si>
  <si>
    <t>1098765876</t>
  </si>
  <si>
    <t>PRESTAR SERVICIOS PROFESIONALES APOYANDO EL DESARROLLO DE ACTIVIDADES EN TERAPIA OCUPACIONAL PARA LAS PERSONAS MAYORES EN CONDICIÓN DE VULNERABILIDAD Y/O ADSCRITAS A LOS CENTROS VIDA DEL MUNICIPIO.</t>
  </si>
  <si>
    <t>JUAN MARIO VALENCIA AGUIRRE</t>
  </si>
  <si>
    <t>SDS-SDS-CPS-113-2023</t>
  </si>
  <si>
    <t>1095796461</t>
  </si>
  <si>
    <t>PRESTAR SERVICIOS PROFESIONALES EN EL APOYO OPERATIVO Y DE ASISTENCIA ADMINISTRATIVA ENCAMINADAS A FACILITAR EL DESARROLLO Y EJECUCIÓN DE LAS ACTIVIDADES DEL PROGRAMA ADULTO MAYOR Y DIGNO, ADSCRITO A LA SECRETARÍA DE DESARROLLO SOCIAL.</t>
  </si>
  <si>
    <t>LAURA PATRICIA CONTRERAS GARCIA</t>
  </si>
  <si>
    <t>SDS-SDS-CPS-117-2023</t>
  </si>
  <si>
    <t>1098650116</t>
  </si>
  <si>
    <t>PRESTAR SERVICIOS PROFESIONALES APOYANDO EL DESARROLLO DE ACCIONES Y ACTIVIDADES EN TRABAJO SOCIAL PARA PROCURAR LA PROTECCIÓN, PROMOCIÓN Y DEFENSA DE LOS DERECHOS DE LAS PERSONAS MAYORES EN CONDICIÓN DE VULNERABILIDAD Y/O ADSCRITOS A LOS CENTROS VIDA DEL MUNICIPIO</t>
  </si>
  <si>
    <t>ANGELICA MARIA GARCIA RODRIGUEZ</t>
  </si>
  <si>
    <t>SDS-SDS-CPS-115-2023</t>
  </si>
  <si>
    <t>1098699945</t>
  </si>
  <si>
    <t>PRESTAR SERVICIOS DE APOYO A LA GESTIÓN APOYANDO EL DESARROLLO DE ACTIVIDADES DE AUTO CUIDADO E HIGIENE EN LAS PERSONAS MAYORES EN CONDICIÓN DE VULNERABILIDAD Y/O ADSCRITAS A LOS CENTROS VIDA DEL MUNICIPIO DE BUCARAMANGA.</t>
  </si>
  <si>
    <t>AMANDA RODRIGUEZ SILVA</t>
  </si>
  <si>
    <t>SDS-SDS-CPS-114-2023</t>
  </si>
  <si>
    <t>37836631</t>
  </si>
  <si>
    <t>PRESTAR SERVICIOS DE APOYO A LA GESTIÓN EN LA ATENCIÓN Y ORIENTACIÓN AL CIUDADANO EN LAS ÁGORAS PARA LA SOCIALIZACIÓN DE LOS PROGRAMAS SOCIALES DE LA SECRETARIA DE DESARROLLO SOCIAL DEL MUNICIPIO DE BUCARAMANGA.</t>
  </si>
  <si>
    <t>ORFILIA BUITRAGO GARCIA</t>
  </si>
  <si>
    <t>SDS-SDS-CPS-118-2023</t>
  </si>
  <si>
    <t>37696399</t>
  </si>
  <si>
    <t>PRESTAR SERVICIOS PROFESIONALES COMO PSICÓLOGO EN EL DESARROLLO DE ACTIVIDADES PARA LA PROMOCIÓN DE LA SALUD MENTAL DE LAS PERSONAS MAYORES EN CONDICIÓN DE VULNERABILIDAD ADSCRITAS A LOS CENTROS VIDA DEL MUNICIPIO DE BUCARAMANGA</t>
  </si>
  <si>
    <t>ERIKA  PAOLA VERA CARVAJAL</t>
  </si>
  <si>
    <t>SDS-SDS-CPS-119-2023</t>
  </si>
  <si>
    <t>1232888193</t>
  </si>
  <si>
    <t>PRESTAR SERVICIOS PROFESIONALES COMO ABOGADO (A) ESPECIALIZADO (A) PARA APOYAR LA GESTIÓN JURÍDICA INTERNA Y EXTERNA EN EL MARCO DEL PROYECTO “MEJORAMIENTO DE LOS PROCESOS TRANSVERSALES PARA UNA ADMINISTRACIÓN PÚBLICA MODERNA Y EFICIENTE EN LA SECRETARÍA DE DESARROLLO SOCIAL DEL MUNICIPIO BUCARAMANGA</t>
  </si>
  <si>
    <t>ANDREA  JULIANA VECINO PINZON</t>
  </si>
  <si>
    <t>SDS-SDS-CPS-120-2023</t>
  </si>
  <si>
    <t>1019019812</t>
  </si>
  <si>
    <t>JORGE ENRIQUE USEDA PÉREZ</t>
  </si>
  <si>
    <t>SDS-SDS-CPS-121-2023</t>
  </si>
  <si>
    <t>1098638585</t>
  </si>
  <si>
    <t>LEIDY JOHANA GONZALEZ ORTIZ</t>
  </si>
  <si>
    <t>SDS-SDS-CPS-125-2023</t>
  </si>
  <si>
    <t>1098622731</t>
  </si>
  <si>
    <t>PRESTAR SERVICIOS DE APOYO A LA GESTIÓN APOYANDO EL DESARROLLO DE ACTIVIDADES DE AUTO CUIDADO E HIGIENE EN LAS PERSONAS MAYORES EN CONDICIÓN DE VULNERABILIDAD Y/O ADSCRITAS A LOS CENTROS VIDA DEL MUNICIPIO DE BUCARAMANGA</t>
  </si>
  <si>
    <t>HEIDY BENAYA ARCHILA MEJIA</t>
  </si>
  <si>
    <t>SDS-SDS-CPS-127-2023</t>
  </si>
  <si>
    <t>63490711</t>
  </si>
  <si>
    <t>PRESTAR SERVICIOS PROFESIONALES COMO PSICOLOGO EN EL DESARROLLO DE ACTIVIDADES PARA LA PROMOCIÓN DE LA SALUD MENTAL DE LAS PERSONAS MAYORES EN CONDICIÓN DE VULNERABILIDAD ADSCRITAS A LOS CENTROS VIDA DEL MUNICIPIO DE BUCARAMANGA</t>
  </si>
  <si>
    <t>NINI JOHANNA NIÑO SAAVEDRA</t>
  </si>
  <si>
    <t>SDS-SDS-CPS-124-2023</t>
  </si>
  <si>
    <t>1098672328</t>
  </si>
  <si>
    <t>PRESTAR LOS SERVICIOS PROFESIONALES PARA LA ASISTENCIA TÉCNICA Y ACOMPAÑAMIENTO DE LOS PROYECTOS AGROINDUSTRIALES QUE EJECUTE LA SECRETARIA DE DESARROLLO SOCIAL DEL MUNICIPIO DE BUCARAMANGA.</t>
  </si>
  <si>
    <t>MAYRA ALEJANDRA LEAL OTALORA</t>
  </si>
  <si>
    <t>2.3.2.02.02.009.1702010.91131.201</t>
  </si>
  <si>
    <t>SDS-SDS-CPS-123-2023</t>
  </si>
  <si>
    <t>SERVICIOS PARA LA COMUNIDAD, SOCIALES Y PERSONALES 201</t>
  </si>
  <si>
    <t>1098726322</t>
  </si>
  <si>
    <t>PRESTAR LOS SERVICIOS DE APOYO LOGÍSTICO A LOS MERCADILLO CAMPESINOS Y A LOS DIFERENTES PROGRAMAS DE LA SECRETARIA DE DESARROLLO SOCIAL DEL MUNICIPIO DE BUCARAMANGA</t>
  </si>
  <si>
    <t>CESAR AUGUSTO GARCIA MARTINEZ</t>
  </si>
  <si>
    <t>SDS-SDS-CPS-129-2023</t>
  </si>
  <si>
    <t>91182730</t>
  </si>
  <si>
    <t>RESTAR SERVICIOS DE APOYO A LA GESTIÓN PARA APOYAR LA OPERATIVIDAD ADMINISTRATIVA DEL PROGRAMA“COLOMBIA MAYOR” Y EL PROGRAMA ADULTO MAYOR Y DIGNO ADSCRITO A LA SECRETARÍA DE DESARROLLO SOCIAL</t>
  </si>
  <si>
    <t>MARIA CECILIA CHAPARRO GALVIS</t>
  </si>
  <si>
    <t>SDS-SDS-CPS-128-2023</t>
  </si>
  <si>
    <t>1005448767</t>
  </si>
  <si>
    <t>PRESTAR SERVICIOS PROFESIONALES PARA BRINDAR APOYO JURÍDICO AL PROGRAMA FORTALECIMIENTO DE LAS INSTITUCIONES DEMOCRÁTICAS Y CIUDADANÍA PARTICIPATIVA DEL MUNICIPIO DE BUCARAMANGA ESPECIALMENTE EN LA ATENCIÓN A JUNTAS DE ACCIÓN COMUNAL Y JUNTAS ADMINISTRADORAS LOCALES.</t>
  </si>
  <si>
    <t>CHRISTIAN  EDUARDO CASTRO AGUDELO</t>
  </si>
  <si>
    <t>SDS-SDS-CPS-133-2023</t>
  </si>
  <si>
    <t>1098783093</t>
  </si>
  <si>
    <t>PRESTAR SERVICIOS DE APOYO A LA GESTIÓN EN LA ATENCIÓN Y ORIENTACIÓN AL CIUDADANO EN LAS ÁGORAS PARA LA SOCIALIZACIÓN DE LOS PROGRAMAS SOCIALES DE LA SECRETARIA DE DESARROLLO SOCIAL DEL MUNICIPIO DE BUCARAMANGA</t>
  </si>
  <si>
    <t>YURLEYDA PABON PABON</t>
  </si>
  <si>
    <t>SDS-SDS-CPS-130-2023</t>
  </si>
  <si>
    <t>1098696618</t>
  </si>
  <si>
    <t>GLADYS ZULEIMA RUEDA VILLAMIZAR</t>
  </si>
  <si>
    <t>SDS-SDS-CPS-126-2023</t>
  </si>
  <si>
    <t>63540117</t>
  </si>
  <si>
    <t>PRESTAR SERVICIOS PROFESIONALES EN CIENCIAS HUMANAS PARA APOYAR LA GESTIÓN E IMPLEMENTACIÓN TERRITORIAL DE ACTIVIDADES, ESTRATEGIAS, PROGRAMAS E INTERACCIÓN CON POBLACIÓN VULNERABLE EN ESPECIAL INDIGENA Y AFRO EN EL MARCO DEL PROYECTO MEJORAMIENTO DE LOS PROCESOS TRANSVERSALES PARA UNA ADMINISTRACIÓN PUBLICA MODERNA Y EFICIENTE EN LA SECRETARIA DE DESARROLLO SOCIAL DEL MUNICIPIO DE BUCARAMANGA.</t>
  </si>
  <si>
    <t>DIEGO ARMANDO ROJAS SANABRIA</t>
  </si>
  <si>
    <t>SDS-SDS-CPS-131-2023</t>
  </si>
  <si>
    <t>1098734332</t>
  </si>
  <si>
    <t xml:space="preserve">PRESTAR SERVICIOS PROFESIONALES APOYANDO EL DESARROLLO DE ACTIVIDADES EN ATENCIÓN PRIMARIA EN SALUD DE FORMA INTRA Y EXTRAMURAL DIRIGIDAS A LAS PERSONAS MAYORES EN VULNERABILIDAD Y/O ADSCRITAS A LOS CENTROS VIDA DEL MUNICIPIO
</t>
  </si>
  <si>
    <t>INGRID DAMARIS FLOREZ AGUILAR</t>
  </si>
  <si>
    <t>SDS-SDS-CPS-137-2023</t>
  </si>
  <si>
    <t>1098676389</t>
  </si>
  <si>
    <t>PRESTAR SERVICIOS PROFESIONALES PARA BRINDAR APOYO SOCIAL Y COMUNITARIO AL PROGRAMA DE FORTALECIMIENTO DE LAS INSTITUCIONES DEMOCRÁTICAS Y CIUDADANÍA PARTICIPATIVA DEL MUNICIPIO DE BUCARAMANGA EN EL MARCO DE LA ESTRATEGIA DE PARTICIPACIÓN DEMOCRÁTICA</t>
  </si>
  <si>
    <t>ELKIN DARIO JAIMES RODRIGUEZ</t>
  </si>
  <si>
    <t>SDS-SDS-CPS-139-2023</t>
  </si>
  <si>
    <t>1098728142</t>
  </si>
  <si>
    <t>PRESTAR SERVICIOS COMO PROFESIONAL APOYANDO LA IMPLEMENTACIÓN DE ACTIVIDADES FÍSICAS Y RECREATIVAS PARA LA PROMOCIÓN DE LOS DERECHOS DE LAS PERSONAS MAYORES EN VULNERABILIDAD Y/O ADSCRITAS A LOS SERVICIOS DEL CENTRO VIDA DEL MUNICIPIO</t>
  </si>
  <si>
    <t>ROBERTH VILLAMIZAR CELIS</t>
  </si>
  <si>
    <t>SDS-SDS-CPS-134-2023</t>
  </si>
  <si>
    <t>91268421</t>
  </si>
  <si>
    <t>JESSICA  PAOLA SALCEDO  ROA</t>
  </si>
  <si>
    <t>SDS-SDS-CPS-136-2023</t>
  </si>
  <si>
    <t>1098773909</t>
  </si>
  <si>
    <t>PRESTAR SERVICIOS DE APOYO A LA ATENCIÓN AL CIUDADANO DEL PROGRAMA FAMILIAS EN ACCIÓN A CARGO DE LA SECRETARIA DE DESARROLLO SOCIAL DEL MUNICIPIO DE BUCARAMANGA.</t>
  </si>
  <si>
    <t>MARY LUZ TORRES ALVAREZ</t>
  </si>
  <si>
    <t>SDS-SDS-CPS-164-2023</t>
  </si>
  <si>
    <t>63356359</t>
  </si>
  <si>
    <t xml:space="preserve">PRESTAR SERVICIOS DE APOYO A LA ATENCIÓN AL CIUDADANO DEL PROGRAMA FAMILIAS EN ACCIÓN A CARGO DE LA SECRETARIA DE DESARROLLO SOCIAL DEL MUNICIPIO DE BUCARAMANGA.
</t>
  </si>
  <si>
    <t>LUZ PAOLA PEREZ</t>
  </si>
  <si>
    <t>SDS-SDS-CPS-157-2023</t>
  </si>
  <si>
    <t>63529413</t>
  </si>
  <si>
    <t>PRESTAR SERVICIOS PROFESIONALES PARA APOYAR LA OPERATIVIDAD ADMINISTRATIVA DEL PROGRAMA “COLOMBIA MAYOR” Y EL PROGRAMA DE ATENCIÓN INTEGRAL A LAS PERSONAS MAYORES DEL MUNICIPIO DE BUCARAMANGA ADSCRITO A LA SECRETARÍA DE DESARROLLO SOCIAL</t>
  </si>
  <si>
    <t>LUIS NELSON GUALDRON FLOREZ</t>
  </si>
  <si>
    <t>SDS-SDS-CPS-146-2023</t>
  </si>
  <si>
    <t>91275282</t>
  </si>
  <si>
    <t>PRESTAR SERVICIOS DE APOYO A LA GESTIÓN EN LAS ESTRATEGIAS TERRITORIALES DE CARÁCTER SOCIAL Y COMUNITARIO EN EL PROGRAMA DE FORTALECIMIENTO DE LAS INSTITUCIONES DEMOCRÁTICAS Y CIUDADANÍA PARTICIPATIVA DEL MUNICIPIO DE BUCARAMANGA</t>
  </si>
  <si>
    <t>LARRY DUVAN SANCHEZ GORDILLO</t>
  </si>
  <si>
    <t>SDS-SDS-CPS-151-2023</t>
  </si>
  <si>
    <t>1098675831</t>
  </si>
  <si>
    <t>PRESTAR SERVICIOS DE APOYO A LA ATENCIÓN AL CIUDADANO DEL PROGRAMA FAMILIAS EN ACCIÓN A CARGO DE LA SECRETARIA DE DESARROLLO SOCIAL DEL MUNICIPIO DE BUCARAMANGA</t>
  </si>
  <si>
    <t>JOAN ANDRES CALDERON FRANCO</t>
  </si>
  <si>
    <t>SDS-SDS-CPS-165-2023</t>
  </si>
  <si>
    <t>1098814884</t>
  </si>
  <si>
    <t>MONICA LISSETTE TORRES RAMIREZ</t>
  </si>
  <si>
    <t>SDS-SDS-CPS-152-2023</t>
  </si>
  <si>
    <t>52998777</t>
  </si>
  <si>
    <t>JULIAN DAVID SANCHEZ DIAS</t>
  </si>
  <si>
    <t>SDS-SDS-CPS-148-2023</t>
  </si>
  <si>
    <t>1100895029</t>
  </si>
  <si>
    <t>PRESTAR SERVICIOS PROFESIONALES PARA APOYAR CON ORIENTACIÓN FINANCIERA Y CONTABLE LAS ORGANIZACIONES COMUNITARIAS DE PRIMER Y SEGUNDO GRADO DENTRO DEL PROGRAMA DE FORTALECIMIENTO DE LAS INSTITUCIONES DEMOCRÁTICAS Y CIUDADANÍA PARTICIPATIVA DEL MUNICIPIO DE BUCARAMANGA</t>
  </si>
  <si>
    <t>JENNY JYBEDH PINTO SANCHEZ</t>
  </si>
  <si>
    <t>SDS-SDS-CPS-153-2023</t>
  </si>
  <si>
    <t>1098681425</t>
  </si>
  <si>
    <t>PRESTAR SERVICIOS PROFESIONALES APOYANDO EL DESARROLLO DE ACTIVIDADES EN TERAPIA OCUPACIONAL PARA LAS PERSONAS MAYORES EN CONDICIÓN DE VULNERABILIDAD Y/O ADSCRITAS A LOS CENTROS VIDA DEL MUNICIPIO</t>
  </si>
  <si>
    <t>JHON FREDY PINTO CASTELLANOS</t>
  </si>
  <si>
    <t>SDS-SDS-CPS-142-2023</t>
  </si>
  <si>
    <t>1098706441</t>
  </si>
  <si>
    <t>FANNY RUIZ PEREZ</t>
  </si>
  <si>
    <t>SDS-SDS-CPS-155-2023</t>
  </si>
  <si>
    <t>63368696</t>
  </si>
  <si>
    <t>NATHALIA RUEDA AREVALO</t>
  </si>
  <si>
    <t>SDS-SDS-CPS-150-2023</t>
  </si>
  <si>
    <t>1098765704</t>
  </si>
  <si>
    <t>LADY JOHANNA MANOSALVA OLARTE</t>
  </si>
  <si>
    <t>SDS-SDS-CPS-156-2023</t>
  </si>
  <si>
    <t>1098642169</t>
  </si>
  <si>
    <t>YULY ANDREA AMAYA ORTEGA</t>
  </si>
  <si>
    <t>SDS-SDS-CPS-154-2023</t>
  </si>
  <si>
    <t>63532174</t>
  </si>
  <si>
    <t>PRESTAR SERVICIOS DE APOYO A LA GESTIÓN DE LOS PROCESOS ADMINISTRATIVOS EN EL MARCO DE LOS PROYECTOS “MEJORAMIENTO DE LOS PROCESOS TRANSVERSALES PARA UNA ADMINISTRACIÓN PUBLICA MODERNA Y EFICIENTE EN LA SECRETARÍA DE DESARROLLO SOCIAL DEL MUNICIPIO DE BUCARAMANGA</t>
  </si>
  <si>
    <t>PAULA MICHELL RODRIGUEZ PINZÓN</t>
  </si>
  <si>
    <t>SDS-SDS-CPS-149-2023</t>
  </si>
  <si>
    <t>1005565398</t>
  </si>
  <si>
    <t>SUSANA MARIA MENDOZA CHACON</t>
  </si>
  <si>
    <t>SDS-SDS-CPS-161-2023</t>
  </si>
  <si>
    <t>63353004</t>
  </si>
  <si>
    <t>CAROLINA LEON QUINTERO</t>
  </si>
  <si>
    <t>SDS-SDS-CPS-159-2023</t>
  </si>
  <si>
    <t>63497520</t>
  </si>
  <si>
    <t>JULIO CESAR AMAYA</t>
  </si>
  <si>
    <t>SDS-SDS-CPS-143-2023</t>
  </si>
  <si>
    <t>13873683</t>
  </si>
  <si>
    <t>PRESTAR SERVICIOS PROFESIONALES EN LA COORDINACIÓN DEL PROGRAMA DE ATENCIÓN A LA POBLACIÓN VULNERABLE BENEFICIARIA DEL PROGRAMA HABITANTE DE CALLE, DE LA SECRETARIA DE DESARROLLO SOCIAL DEL MUNICIPIO DE BUCARAMANGA.</t>
  </si>
  <si>
    <t>PEDRO IGNACIO DOMINGUEZ BARRIOS</t>
  </si>
  <si>
    <t>2.3.2.02.02.009.4104026.91119.201</t>
  </si>
  <si>
    <t>SDS-SDS-CPS-166-2023</t>
  </si>
  <si>
    <t>SERVICIO DE ARTICULACION DE OFERTA SOCIAL PARA LA POBLACION HABITANTE DE CALLE 201</t>
  </si>
  <si>
    <t>13744456</t>
  </si>
  <si>
    <t>KATHERIN  ALEXANDRA INFANTE  ALVAREZ</t>
  </si>
  <si>
    <t>SDS-SDS-CPS-163-2023</t>
  </si>
  <si>
    <t>1095946020</t>
  </si>
  <si>
    <t>PRESTAR SERVICIOS PROFESIONALES EN LAS ACTIVIDADES FÍSICO-RECREATIVAS Y DEPORTIVAS EN EL PROGRAMA HABITANTES EN SITUACIÓN DE CALLE DEL MUNICIPIO DE BUCARAMANGA</t>
  </si>
  <si>
    <t>CLAUDIA PATRICIA VEGA MONSALVE</t>
  </si>
  <si>
    <t>SDS-SDS-CPS-160-2023</t>
  </si>
  <si>
    <t>63516745</t>
  </si>
  <si>
    <t>MAYRA BIBIANA JAIMES PARRA</t>
  </si>
  <si>
    <t>SDS-SDS-CPS-162-2023</t>
  </si>
  <si>
    <t>1098701773</t>
  </si>
  <si>
    <t>GLORIA LUZ TARIFA ARAUJO</t>
  </si>
  <si>
    <t>SDS-SDS-CPS-145-2023</t>
  </si>
  <si>
    <t>1067727160</t>
  </si>
  <si>
    <t>BLANCA  ISABEL PINTO GOMEZ</t>
  </si>
  <si>
    <t>SDS-SDS-CPS-158-2023</t>
  </si>
  <si>
    <t>63313302</t>
  </si>
  <si>
    <t>EDWARD JESUS VILLAMIZAR PORTILLA</t>
  </si>
  <si>
    <t>SDS-SDS-CPS-140-2023</t>
  </si>
  <si>
    <t>1098746799</t>
  </si>
  <si>
    <t>PRESTAR SERVICIOS PROFESIONALES PARA LA ASISTENCIA TÉCNICA Y ACOMPAÑAMIENTO DE LOS PROYECTOS QUE SE EJECUTEN EN EL SECTOR AGRÍCOLA DEL MUNICIPIO DE BUCARAMANGA, POR LA SECRETARIA DE DESARROLLO SOCIAL</t>
  </si>
  <si>
    <t>DEYBER ALFONSO NAVAS RUEDA</t>
  </si>
  <si>
    <t>SDS-SDS-CPS-144-2023</t>
  </si>
  <si>
    <t>91531402</t>
  </si>
  <si>
    <t>MARIA  ALEJANDRA TORRES PABON</t>
  </si>
  <si>
    <t>SDS-SDS-CPS-135-2023</t>
  </si>
  <si>
    <t>1098808279</t>
  </si>
  <si>
    <t>GENNY JOHANNA DUARTE MORENO</t>
  </si>
  <si>
    <t>SDS-SDS-CPS-147-2023</t>
  </si>
  <si>
    <t>63513782</t>
  </si>
  <si>
    <t>PRESTAR SERVICIOS PROFESIONALES EN PSICOLOGÍA ORIENTADOS A LA PROMOCIÓN DE LOS SERVICIOS DE LOS PROGRAMAS MAS EQUIDAD PARA LAS MUJERES Y BUCARAMANGA HÁBITAT PARA EL CUIDADO Y LA CORRESPONSABILIDAD EN LA ZONA SUR DE LA CIUDAD DESDE EL COMPONENTE DE INTERVENCIÓN PSICOSOCIAL.</t>
  </si>
  <si>
    <t>YEZENNIA NAVARRO  GELVEZ</t>
  </si>
  <si>
    <t>SDS-SDS-CPS-132-2023</t>
  </si>
  <si>
    <t>1098813428</t>
  </si>
  <si>
    <t xml:space="preserve">PRESTAR SERVICIOS DE APOYO A LA GESTIÓN, EN LA ATENCIÓN Y SEGUIMIENTO A LA POBLACIÓN VULNERABLE BENEFICIARIA DEL PROGRAMA HABITANTE DE CALLE DE LA SECRETARIA DE DESARROLLO SOCIAL DEL MUNICIPIO DE BUCARAMANGA
</t>
  </si>
  <si>
    <t>KAROL VANESSA BUITRAGO GARCIA</t>
  </si>
  <si>
    <t>SDS-SDS-CPS-141-2023</t>
  </si>
  <si>
    <t>1005485513</t>
  </si>
  <si>
    <t xml:space="preserve">PRESTAR SERVICIOS DE APOYO A LA GESTIÓN EN LA ATENCIÓN Y ORIENTACIÓN AL CIUDADANO EN LAS ÁGORAS PARA LA SOCIALIZACIÓN DE LOS PROGRAMAS SOCIALES DE LA SECRETARIA DE DESARROLLO SOCIAL DEL MUNICIPIO DE BUCARAMANGA
</t>
  </si>
  <si>
    <t>MAYERLY VILLAMIZAR ARDILA</t>
  </si>
  <si>
    <t>SDS-SDS-CPS-169-2023</t>
  </si>
  <si>
    <t>1098648662</t>
  </si>
  <si>
    <t>LAURA CRISTINA MORENO RODRIGUEZ</t>
  </si>
  <si>
    <t>SDS-SDS-CPS-171-2023</t>
  </si>
  <si>
    <t>1098738968</t>
  </si>
  <si>
    <t>PRESTAR SERVICIOS PROFESIONALES COMO ADMINISTRADOR DE EMPRESAS PARA FORTALECER LAS ACTIVIDADES DE LA GESTIÓN LA ARTICULACIÓN, ACOMPAÑAMIENTO, GESTIÓN DE LA INFORMACIÓN, BASES DE DATOS Y SEGUIMIENTO DE ACTIVIDADES RELACIONADAS CON LA ATENCIÓN A LA POBLACIÓN VULNERABLE BENEFICIARIA DEL PROGRAMA HABITANTE DE CALLE, DE LA SECRETARIA DE DESARROLLO SOCIAL DEL MUNICIPIO DE BUCARAMANGA</t>
  </si>
  <si>
    <t>CLAUDIA MILENA QUINTERO</t>
  </si>
  <si>
    <t>SDS-SDS-CPS-172-2023</t>
  </si>
  <si>
    <t>63487920</t>
  </si>
  <si>
    <t>PRESTAR LOS SERVICIOS DE APOYO LOGÍSTICO A LOS MERCADILLO CAMPESINOS Y A LOS DIFERENTES PROGRAMAS DE LA SECRETARIA DE DESARROLLO SOCIAL DEL MUNICIPIO DE BUCARAMANGA.</t>
  </si>
  <si>
    <t>BRAIAN CAMILO GUZMAN ARIAS</t>
  </si>
  <si>
    <t>SDS-SDS-CPS-174-2023</t>
  </si>
  <si>
    <t>1098769063</t>
  </si>
  <si>
    <t>PRESTAR LOS SERVICIOS PROFESIONALES PARA LA ASISTENCIA TÉCNICA Y ACOMPAÑAMIENTO DE LOS PROYECTOS QUE SE EJECUTEN EN EL SECTOR AGRÍCOLA DEL MUNICIPIO DE BUCARAMANGA, POR LA SECRETARIA DE DESARROLLO SOCIAL</t>
  </si>
  <si>
    <t>JEYSNNER ARLEY PINZON BAYONA</t>
  </si>
  <si>
    <t>SDS-SDS-CPS-168-2023</t>
  </si>
  <si>
    <t>1098793669</t>
  </si>
  <si>
    <t>PRESTAR SERVICIOS DE APOYO A LA GESTIÓN PARA EL DESARROLLO DE PROCESOS Y ACTIVIDADES ADMINISTRATIVAS DEL PROGRAMA ADULTO MAYOR Y DIGNO, ADSCRITO A LA SECRETARÍA DE DESARROLLO SOCIAL</t>
  </si>
  <si>
    <t>MARGARITA MARIA FLOREZ PENA</t>
  </si>
  <si>
    <t>SDS-SDS-CPS-167-2023</t>
  </si>
  <si>
    <t>37825105</t>
  </si>
  <si>
    <t>EDITH URIBE SIZA</t>
  </si>
  <si>
    <t>SDS-SDS-CPS-176-2023</t>
  </si>
  <si>
    <t>63324247</t>
  </si>
  <si>
    <t>PRESTAR SERVICIOS PROFESIONALES PARA EL DESARROLLO DE ACTIVIDADES ARTÍSTICAS EN LAS PERSONAS MAYORES EN CONDICIÓN DE VULNERABILIDAD Y/O ADSCRITAS EN LOS CENTROS VIDA DEL MUNICIPIO DE BUCARAMANGA</t>
  </si>
  <si>
    <t>JENNIFER ARMERO TORRA</t>
  </si>
  <si>
    <t>SDS-SDS-CPS-170-2023</t>
  </si>
  <si>
    <t>63533023</t>
  </si>
  <si>
    <t>PRESTAR SERVICIO COMO TÉCNICO EN PRODUCCION AGROPECUARIA PARA APOYAR LAS DIFERENTES ACTIVIDADES DEL PROGRAMA DESARROLLO DEL CAMPO DE LA SECRETARIA DE DESARROLLO SOCIAL DEL MUNICIPIO DE BUCARAMANGA.</t>
  </si>
  <si>
    <t>DIEGO ALEJANDRO NARANJO PINZON</t>
  </si>
  <si>
    <t>SDS-SDS-CPS-173-2023</t>
  </si>
  <si>
    <t>1098409456</t>
  </si>
  <si>
    <t xml:space="preserve">PRESTAR SERVICIOS PROFESIONALES EN PSICOLOGÍA PARA FORTALECER LOS PROCESOS DE ATENCIÓN INTEGRAL A POBLACIÓN VULNERABLE Y ACOMPAÑAMIENTO A LA COORDINACION DEL PROGRAMA DESDE UN ENFOQUE TÉCNICO – HABITANTE DE CALLE- BENEFICIARIOS DE LOS PROGRAMAS OFERTADOS POR LA SECRETARÍA DE DESARROLLO SOCIAL DEL MUNICIPIO DE BUCARAMANGA
</t>
  </si>
  <si>
    <t>JHERSON DANIEL URIBE SIZA</t>
  </si>
  <si>
    <t>SDS-SDS-CPS-177-2023</t>
  </si>
  <si>
    <t>91533818</t>
  </si>
  <si>
    <t>ZULAY MILENA CAMACHO RUEDA</t>
  </si>
  <si>
    <t>SDS-SDS-CPS-175-2023</t>
  </si>
  <si>
    <t>37556869</t>
  </si>
  <si>
    <t>PRESTAR SERVICIOS PROFESIONALES PARA BRINDAR APOYO JURÍDICO AL PROGRAMA FORTALECIMIENTO DE LAS INSTITUCIONES DEMOCRÁTICAS Y CIUDADANA PARTICIPATIVA DEL MUNICIPIO DE BUCARAMANGA ESPECIALMENTE LA ATENCIÓN A JUNTAS DE ACCIÓN COMUNAL Y JUNTAS ADMINISTRADORAS LOCALES</t>
  </si>
  <si>
    <t>MARIETH CALA ORTEGA</t>
  </si>
  <si>
    <t>SDS-SDS-CPS-184-2023</t>
  </si>
  <si>
    <t>1101697586</t>
  </si>
  <si>
    <t>PRESTAR SERVICIOS DE APOYO A LA GESTIÓN PARA LA IMPLEMENTACIÓN DE ESTRATEGIAS LUDICOPEDAGÓGICAS ORIENTADAS A LA GENERACIÓN DE ENTORNOS PROTECTORES EN EL MARCO DE LOS PROGRAMAS PRIMERA INFANCIA EL CENTRO DE LA SOCIEDAD, CRECE CONMIGO: UNA INFANCIA FELIZ Y CONSTRUCCIÓN DE ENTORNOS PARA UNA ADOLESCENCIA SANA DE LA SECRETARIA DE DESARROLLO SOCIAL DE BUCARAMANGA</t>
  </si>
  <si>
    <t>ANDREA JULIETH APARICIO PINTO</t>
  </si>
  <si>
    <t>SDS-SDS-CPS-183-2023</t>
  </si>
  <si>
    <t>1098614526</t>
  </si>
  <si>
    <t>PRESTAR SERVICIOS DE APOYO A LA GESTIÓN APOYANDO EL DESARROLLO DE ACTIVIDADES GASTRONÓMICAS Y COCINA PRODUCTIVA DIRIGIDA A LAS PERSONAS MAYORES EN CONDICIÓN DE VULNERABILIDAD Y/O ADSCRITAS A LOS CENTROS VIDA DEL MUNICIPIO.</t>
  </si>
  <si>
    <t>HARVEY PALOMINO RAMIREZ</t>
  </si>
  <si>
    <t>SDS-SDS-CPS-185-2023</t>
  </si>
  <si>
    <t>91255987</t>
  </si>
  <si>
    <t>PRESTAR SERVICIOS DE APOYO A LA GESTIÓN APOYANDO EL DESARROLLO DE ACTIVIDADES GASTRONÓMICAS Y COCINA PRODUCTIVA DIRIGIDA A LAS PERSONAS MAYORES EN CONDICIÓN DE VULNERABILIDAD Y/O ADSCRITAS A LOS CENTROS VIDA DEL MUNICIPIO</t>
  </si>
  <si>
    <t>SERGIO ANDRES ALMEIDA PARRA</t>
  </si>
  <si>
    <t>SDS-SDS-CPS-182-2023</t>
  </si>
  <si>
    <t>1102370471</t>
  </si>
  <si>
    <t>SANDRA  PATRICIA DUARTE</t>
  </si>
  <si>
    <t>SDS-SDS-CPS-180-2023</t>
  </si>
  <si>
    <t>37559301</t>
  </si>
  <si>
    <t xml:space="preserve">PAGO DE SERVICIO DE ACUEDUCTO ALCANTARILLADO Y ASEO DE CASA BUHO, POR EL PERIODO DE DICIEMBRE DEL 2022 SEGUN FACTURA DE SERVICIO NO 8800317
</t>
  </si>
  <si>
    <t>PAGO DE SERVICIO DE ACUEDUCTO, ALCANTARILLADO Y ASEO POR EL PERIODO DE DICIEMBRE 01 AL 31 DEL 2022 DE LOS CENTROS VIDA KENNEDY-AÑOS MARAVILLOSOS,ALVAREZ SEGÚN FACTURAS DE SERVICIO NO 8870060-8831632-8822673.</t>
  </si>
  <si>
    <t>PAGO DE SERVICIO DE ACUEDUCTO,ALCANTARILLADO Y ASEO POR LOS PERIODOS DE NOVIEMBRE 01 AL 30 DEL 2022 Y DICIEMBRE 01 AL 31 DEL 2022 DE LAS ÁGORAS LA FERIA- NORTE BAJO- SAN MIGUEL- BUCARAMANGA SEGÚN FACTURAS DE SERVICIOS NO 8907185-8857566-8829792-8841293</t>
  </si>
  <si>
    <t>PAGO DE SERVICIO PUBLICO DE GAS NATURAL DE LOS CENTROS VIDA AÑOS MARAVILLOSOS FACTURA NO F18I9378528 PERIODO COMPRENDIDO DE DICIEMBRE 22 DEL 2022 HASTA ENERO 16 DEL 2023, CENTRO VIDA ALVAREZ FACTURA NO F18I9378476 PERIODO COMPRENDIDO DE DICIEMBRE 21 DEL 2022 HASTA ENERO 17 DEL 2023 Y CENTRO VIDA KENNEDY FACTURA NO F18I9378476 PERIODO COMPRENDIDO DE DICIEMBRE 21 DEL 2022 HASTA ENERO 17 DEL 2023,ALVAREZ FACTURA NO F18I9037889 PERIODO COMPRENDIDO NOVIEMBRE 16 DEL 2022 HASTA DICIEMBRE,21 DEL 2022 KENNEDY FACTURA NO F18I9037826 PERIODO COMPRENDIDO DE NOVIEMBRE 16 DEL 2022 HASTA DICIEMBRE 21 DEL 2022.</t>
  </si>
  <si>
    <t>PAGO DE SERVICIO DE TELEFONÍA FIJA E INTERNET DEL CENTRO VIDA KENNEDDY POR EL PERIODO COMPRENDIDO DE ENERO 01 AL 31 DEL 2023 SEGÚN FACTURA NO TBCL-22409751.</t>
  </si>
  <si>
    <t>PRESTAR SERVICIOS PROFESIONALES COMO TRABAJADORA SOCIAL EN LA IMPLEMENTACIÓN DE ESTRATEGIAS ORIENTADAS A LA PREVENCIÓN DE FACTORES DE RIESGO JUNTO AL FORTALECIMIENTO DE LIDERAZGOS DE NIÑOS, NIÑAS Y ADOLESCENTES EN EL MARCO DE LOS PROGRAMAS PRIMERA INFANCIA, EL CENTRO DE LA SOCIEDAD; CRECE CONMIGO: UNA INFANCIA FELIZ, Y CONSTRUCCIÓN DE ENTORNOS PARA UNA ADOLESCENCIA SANA, ADSCRITOS A LA SECRETARIA DE DESARROLLO SOCIAL DEL MUNICIPIO DE BUCARAMANGA</t>
  </si>
  <si>
    <t>DIANA MARCELA CARREÑO NUÑEZ</t>
  </si>
  <si>
    <t>SDS-SDS-CPS-186-2023</t>
  </si>
  <si>
    <t>63539467</t>
  </si>
  <si>
    <t>PRESTAR SERVICIOS PROFESIONALES EN TRABAJO SOCIAL PARA LA IMPLEMENTACIÓN DE ACCIONES EL MARCO DE LOS PROGRAMAS PRIMERA INFANCIA, EL CENTRO DE LA SOCIEDAD; CRECE CONMIGO: UNA INFANCIA FELIZ Y CONSTRUCCIÓN DE ENTORNOS PARA UNA ADOLESCENCIA SANA EN LA SECRETARIA DE DESARROLLO SOCIAL DEL MUNICIPIO DE BUCARAMANGA</t>
  </si>
  <si>
    <t>DIANA JIMENA PINZON JOYA</t>
  </si>
  <si>
    <t>SDS-SDS-CPS-188-2023</t>
  </si>
  <si>
    <t>1098614256</t>
  </si>
  <si>
    <t>PRESTAR SERVICIOS PROFESIONALES COMO PSICÓLOGO EN EL MARCO DE LAS ESTRATEGIAS DE SALUD EMOCIONAL ORIENTADAS A LAS POBLACIONES VULNERABLES DE LA SECRETARÍA DE DESARROLLO SOCIAL</t>
  </si>
  <si>
    <t>CAMILO ANDRES CALDERON RAMIREZ</t>
  </si>
  <si>
    <t>SDS-SDS-CPS-181-2023</t>
  </si>
  <si>
    <t>1098720632</t>
  </si>
  <si>
    <t>PRESTAR SERVICIOS PROFESIONALES APOYANDO EL DESARROLLO DE ACTIVIDADES EN MÚSICA DIRIGIDA A LAS PERSONAS MAYORES EN CONDICIÓN DE VULNERABILIDAD Y/O ADSCRITAS A LOS CENTROS VIDA DEL MUNICIPIO</t>
  </si>
  <si>
    <t>ROLANDO AZDRUBAL HURTADO PEDRAZA</t>
  </si>
  <si>
    <t>SDS-SDS-CPS-179-2023</t>
  </si>
  <si>
    <t>1102355924</t>
  </si>
  <si>
    <t>JORGE MAURICIO LONDOÑO RAMIREZ</t>
  </si>
  <si>
    <t>SDS-SDS-CPS-178-2023</t>
  </si>
  <si>
    <t>91496752</t>
  </si>
  <si>
    <t>ANGIE LIZBETH LUNA FRANCO</t>
  </si>
  <si>
    <t>SDS-SDS-CPS-187-2023</t>
  </si>
  <si>
    <t>1098813657</t>
  </si>
  <si>
    <t>PRESTAR SERVICIOS DE APOYO TÉCNICO ADMINISTRATIVO A LA GESTIÓN, ACOMPAÑAMIENTO, Y SEGUIMIENTO DE ACTIVIDADES RELACIONADAS CON LA ATENCIÓN A LA POBLACIÓN VULNERABLE BENEFICIARIA DEL PROGRAMA HABITANTE DE CALLE, DE LA SECRETARIA DE DESARROLLO SOCIAL DEL MUNICIPIO DE BUCARAMANGA</t>
  </si>
  <si>
    <t>MAYERLY CACERES</t>
  </si>
  <si>
    <t>SDS-SDS-CPS-138-2023</t>
  </si>
  <si>
    <t>1098612765</t>
  </si>
  <si>
    <t>PAGO DE SERVICIO DE INTERNET AGORA PROVENZA PERIODOS: (ENERO 01 AL 31 DEL 2023 Y FEBRERO 01 AL 28 DEL 2023)SEGÚN REFERENCIA DE PAGO 9506304975-33.</t>
  </si>
  <si>
    <t>UNE EPM TELECOMUNICACIONES S A</t>
  </si>
  <si>
    <t>900092385</t>
  </si>
  <si>
    <t>PAGO DE SERVICIO DE INTERNET DE LAS ÁGORAS (CAFÉ MADRID ,SAN CRISTOBAL,ESPERANZA,CENTRO,FERIA,MONTERREDOND,MIRAMAR,NUEVA COLOMBIA,REGADERO,CORDONCILLO)PERIODO: PERIODO: ENERO 01 AL 31 DEL 2023 Y FEBRERO 01 AL 28 DEL 2023 FACTURA NO BCPT309450</t>
  </si>
  <si>
    <t>COLOMBIA MOVIL S.A. ESP</t>
  </si>
  <si>
    <t>830114921</t>
  </si>
  <si>
    <t>PAGO SERVICIO DE INTERNET EN LAS ÁGORAS DE LIBERTAD,NORTE BAJO,BUCARAMANGA,VILLA DEL PRADO,GRANJAS DE PROVENZA,DIAMANTE,GAITAN,JOYA,PORVENIR,EL ROCIÓ ,SAN MIGUEL,SANTANDER,KENNEDDY PERIODO: NOVIEMBRE 01 AL 30 DEL 2022 FACTURAS NO DICIEMBRE 01 AL 31 DEL 2022 - ENERO 01 AL 31 DEL 2023 Y FEBRERO 01 AL 28 DEL 2023 FACTURAS NO R 1008527052 - R 1008527058 - R 1004406401-R 1004406406 - R 1004406414 - R 1008527044 - R 1000920087 - R 1008527078 -R 1008527070- R 1000920037 - R 1008527060 - R 1008527062 - R 1004345938</t>
  </si>
  <si>
    <t>PAGO DE SERVICIO DE INTERNET DE LOS PROGRAMAS PROGRAMA MUJER Y EQUIDAD DE GENERO CRARRERA 34 NO 35-39 BARRIO ALVAREZ(CENTRO INTEGRAL DE LA MUJER) PROGRAMA ADULTO MAYOR DIAGONAL 14 NO 56-02 BARRIO GOMEZ NIÑO (CENTRO VIDA AÑOS MARAVILLOSOS) PROGRAMA ADULTO MAYOR CALLE 33 NO 40-18 BARRIO ALVAREZ (CENTRO VIDA ALVAREZ) PROGRAMA HABITANTE DE CALLE CALLE 30 NO 17-74 BARRIO CENTRO POR LOS PERIODOS PERIODO NOVIEMBRE 28 DEL -2022 HASTA NOVIEMBRE 30 DEL 2022 - DICIEMBRE 01 DEL 2022 HASTA DICIEMBRE 31 DEL 2022 - ENERO 01 DEL 2023 HASTA ENERO 31 DEL 2023 - FEBRERO 01 DEL 2023 HASTA FEBRERO 28 DEL 2023 SEGUN FACTURAS DE SERVICIO NO 003 - 291084536</t>
  </si>
  <si>
    <t>PRESTAR SERVICIOS DE APOYO A LA GESTIÓN Y ATENCIÓN AL PÚBLICO EN EL DESARROLLO DE LAS DIFERENTES ACTIVIDADES DENTRO DEL PROGRAMA FORTALECIMIENTO DE LAS INSTITUCIONES DEMOCRÁTICAS Y CIUDADANÍA PARTICIPATIVA EN EL MUNICIPIO DE BUCARAMANGA</t>
  </si>
  <si>
    <t>JULIANA DEL PILAR REYES VIVIESCAS</t>
  </si>
  <si>
    <t>SDS-SDS-CPS-197-2023</t>
  </si>
  <si>
    <t>1101075162</t>
  </si>
  <si>
    <t>PRESTAR SERVICIOS DE APOYO A LA GESTIÓN EN EL ACOMPAÑAMIENTO Y SEGUIMIENTO DE ACTIVIDADES RELACIONADAS CON LA ATENCIÓN A LA POBLACIÓN VULNERABLE BENEFICIARIA DEL PROGRAMA HABITANTE DE CALLE DE LA SECRETARIA DE DESARROLLO SOCIAL DEL MUNICIPIO DE BUCARAMANGA.</t>
  </si>
  <si>
    <t>LAURA MARCELA PINEDA CASTRILLON</t>
  </si>
  <si>
    <t>SDS-SDS-CPS -194-2023</t>
  </si>
  <si>
    <t>1095812427</t>
  </si>
  <si>
    <t>PRESTAR SERVICIOS PROFESIONALES COMO LICENCIADA EN PEDAGOGÍA INFANTIL PARA LA IMPLEMENTACIÓN DE ESTRATEGIAS LUDICOPEDAGÓGICAS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t>
  </si>
  <si>
    <t>ZULMA LISET CANDELA HERRERA</t>
  </si>
  <si>
    <t>SDS-SDS-CPS-190-2023</t>
  </si>
  <si>
    <t>37726638</t>
  </si>
  <si>
    <t>PRESTAR SERVICIOS PROFESIONALES COMO TERAPEUTA OCUPACIONAL PARA APOYAR PERMANENTEMENTE EN ESTRATEGIAS ENCAMINADAS A LOGRAR OPORTUNIDADES LABORALES, FORTALECER LA CAPACIDAD DE ASUMIR ROLES OCUPACIONALES E INCORPORAR ACTIVIDADES DE INTERÉS A LA POBLACIÓN HABITANTES DE CALLE BENEFICIARIOS DEL PROGRAMA ADSCRITO A LA SECRETARÍA DE DESARROLLO SOCIAL DEL MUNICIPIO DE BUCARAMANGA</t>
  </si>
  <si>
    <t>DIANA  MARCELA LEGUIZAMO MUÑOZ</t>
  </si>
  <si>
    <t>SDS-SDS-CPS-198-2023</t>
  </si>
  <si>
    <t>1102359464</t>
  </si>
  <si>
    <t>PRESTAR SERVICIOS PROFESIONALES PARA APOYAR LAS ACTIVIDADES DEL PROGRAMA FAMILIAS EN ACCIÓN, ESPECIALMENTE LAS RELACIONADAS CON LA OFERTA COMPLEMENTARIA DEL COMPONENTE DE BIENESTAR COMUNITARIO.</t>
  </si>
  <si>
    <t>EDITH HURTADO MARTINEZ</t>
  </si>
  <si>
    <t>SDS-SDS-CPS-196-2023</t>
  </si>
  <si>
    <t>37727785</t>
  </si>
  <si>
    <t>PRESTAR SERVICIOS DE APOYO A LA GESTIÓN PARA LA OPERATIVIDAD ADMINISTRATIVA DEL PROGRAMA MAS FAMILIAS EN ACCIÓN, ADSCRITO A LA SECRETARIA DE DESARROLLO SOCIAL</t>
  </si>
  <si>
    <t>JAIRO ALEXANDER LUNA PINTO</t>
  </si>
  <si>
    <t>SDS-SDS-CPS-195-2023</t>
  </si>
  <si>
    <t>1098647993</t>
  </si>
  <si>
    <t>CRISTIAN CAMILO FLOREZ BECERRA</t>
  </si>
  <si>
    <t>SDS-SDS-CPS-193-2023</t>
  </si>
  <si>
    <t>1098808998</t>
  </si>
  <si>
    <t>PRESTAR SERVICIOS PROFESIONALES PARA APOYAR LAS DIVERSAS ACTIVIDADES DEL PROGRAMA FAMILIAS EN ACCIÓN ESPECIALMENTE LAS RELACIONADAS CON EL COMPONENTE DE BIENESTAR COMUNITARIO.</t>
  </si>
  <si>
    <t>JOSE MANUEL RINCON MENDOZA</t>
  </si>
  <si>
    <t>SDS-SDS-CPS-192-2023</t>
  </si>
  <si>
    <t>1098748540</t>
  </si>
  <si>
    <t>YURANI QUEZADA JAIMES</t>
  </si>
  <si>
    <t>SDS-SDS-CPS-191-2023</t>
  </si>
  <si>
    <t>1098614821</t>
  </si>
  <si>
    <t>PRESTAR SERVICIOS PROFESIONALES APOYANDO EL DESARROLLO DE ACTIVIDADES EN MÚSICA DIRIGIDA A LAS PERSONAS MAYORES EN CONDICIÓN DE VULNERABILIDAD Y/O ADSCRITAS A LOS CENTROS VIDA DEL MUNICIPIO.</t>
  </si>
  <si>
    <t>DIEGO  FERNANDO RUEDA ACEVEDO</t>
  </si>
  <si>
    <t>SDS-SDS-CPS-189-2023</t>
  </si>
  <si>
    <t>1098634616</t>
  </si>
  <si>
    <t>PRESTAR SERVICIOS PROFESIONALES EN ARTES PLÁSTICAS PARA APOYAR LA IMPLEMENTACIÓN DE LOS PROGRAMAS.CRECE CONMIGO: UNA INFANCIA FELIZ; CONSTRUCCIÓN DE ENTORNOS PARA UNA ADOLESCENCIA SANA Y ESTRATEGIA DE PREVENCIÓN DE VIOLENCIAS EN ADOLESCENTES DE LA SECRETARIA DE DESARROLLO SOCIAL</t>
  </si>
  <si>
    <t>MARLON HARVEY FUENTES PINTO</t>
  </si>
  <si>
    <t>SDS-SDS-CPS-194-2023</t>
  </si>
  <si>
    <t>1095815327</t>
  </si>
  <si>
    <t>PRESTAR SERVICIOS PROFESIONALES EN PSICOLOGIA PARA APOYAR LA IMPLEMENTACION DE LAS ESTRATEGIAS “ACTIVOS EN EL CUIDADO” Y “MI CASA UN ENTORNO SEGURO", ORIENTADAS A LA GENERACIÓN DE ENTORNOS PROTECTORES PARA NIÑOS, NIÑAS Y ADOLESCENTES A NIVEL FAMILIAR, COMUNITARIO E INSTITUCIONAL, EN EL MARCO DE LOS PROGRAMAS PRIMERA INFANCIA, EL CENTRO DE LA SOCIEDAD, CRECE CONMIGO: UNA INFANCIA FELIZ, Y CONSTRUCCIÓN DE ENTORNOS PARA UNA ADOLESCENCIA SANA, DE LA SECRETARIA DE DESARROLLO SOCIAL</t>
  </si>
  <si>
    <t>HAIDER DANIEL FLOREZ AGUILLON</t>
  </si>
  <si>
    <t>SDS-SDS-CPS-200-2023</t>
  </si>
  <si>
    <t>1095806161</t>
  </si>
  <si>
    <t>PAGO DE SEGURIDAD SOCIAL A 117 EDILES DEL MUNICIPIO DE BUCARAMANGA POR EL PERIODO DE FEBRERO 01 AL 28 DEL 2023</t>
  </si>
  <si>
    <t>PAGO DE RIESGO PROFESIONALES A 117 EDILES DEL MUNICIPIO DE BUCARAMANGA POR EL PERIODO DE FEBRERO 01 AL 28 DEL 2023.</t>
  </si>
  <si>
    <t>PRESTAR SERVICIOS PROFESIONALES EN DERECHO PARA EL FORTALECIMIENTO DE LAS RUTAS DE ATENCIÓN A CASOS DE VIOLENCIA DE GÉNERO, DERECHOS HUMANOS DE LAS MUJERES Y ESTRATEGIAS DE PROMOCIÓN DE ESPACIOS DE PARTICIPACIÓN SOCIAL Y LIDERAZGO DESDE EL PROGRAMA MUJER Y EQUIDAD DE GÉNEROS DE LA SECRETARIA DE DESARROLLO SOCIAL DEL MUNICIPIO DE BUCARAMANGA.</t>
  </si>
  <si>
    <t>ANDREA PAOLA BECERRA HERNANDEZ</t>
  </si>
  <si>
    <t>SDS-SDS-CPS-199-2023</t>
  </si>
  <si>
    <t>1098784841</t>
  </si>
  <si>
    <t>PRESTAR SERVICIOS PROFESIONALES COMO TRABAJADOR (A) SOCIAL PARA APOYAR LOS PROCESOS DE ATENCIÓN INTEGRAL DIRIGIDOS A POBLACIÓN VULNERABLE – HABITANTE DE CALLE – BENEFICIARIOS DE LOS PROGRAMAS OFERTADOS POR LA SECRETARIA DE DESARROLLO SOCIAL DEL MUNICIPIO DE BUCARAMANGA</t>
  </si>
  <si>
    <t>LUIS ANTONIO SANTIS NIÑO</t>
  </si>
  <si>
    <t>SDS-SDS-CPS-201-2023</t>
  </si>
  <si>
    <t>1095825462</t>
  </si>
  <si>
    <t>PRESTAR SERVICIOS DE APOYO A LA GESTIÓN EN EL MARCO ADMINISTRATIVO DE FORTALECIMIENTO A LA ATENCIÓN INTEGRAL DE LAS PERSONAS CON DISCAPACIDAD EN EL MUNICIPIO DE BUCARAMANGA</t>
  </si>
  <si>
    <t>GENNIFER YOLIMA CABALLERO BRAVO</t>
  </si>
  <si>
    <t>SDS-SDS-CPS-202-2023</t>
  </si>
  <si>
    <t>1102720499</t>
  </si>
  <si>
    <t>PAGO DE SERVICIO DE ENERGÍA ELÉCTRICA DE LAS ÁGORAS LA FERIA,SAN MIGUEL,BUCARAMANGA, GAITAN Y BELLAVISTA CORRESPONDIENTE AL PERIODO DE ENERO 01 AL 31 DEL 2023,SEGÚN FACTURA NO 20378264-203782757-203778555-203782444-203778465.</t>
  </si>
  <si>
    <t>PAGO DE SERVICIO PÚBLICO DE ENERGÍA ELÉCTRICA DE CASA BÚHO POR EL PERIODO DE ENERO 01 AL 31 DEL 2023, SEGUN FACTURA NO 203782623</t>
  </si>
  <si>
    <t>2.3.2.02.02.009.4102001.91123.201</t>
  </si>
  <si>
    <t>SERVICIO DE ATENCION INTEGRAL A LA PRIMERA INFANCIA .201</t>
  </si>
  <si>
    <t>PAGO DE SERVICIO PÚBLICO DE ENERGÍA ELÉCTRICA DE LOS CENTROS VIDAS AÑOS MARAVILLOSOS, ALVAREZ, KENNEDY POR EL PERIODO COMPRENDIDO DE ENERO 01 AL 31 DEL 2023, SEGÚN FACTURAS DE SERVICIOS 203782749-20778420-203782002</t>
  </si>
  <si>
    <t>PRESTAR SERVICIOS PROFESIONALES PARA LA IMPLEMENTACIÓN DE UNA INICIATIVA ORIENTADA AL FOMENTO DEL DESARROLLO TECNOLÓGICO E INNOVACIÓN DE NIÑOS, NIÑAS Y ADOLESCENTES EN EL MARCO DE LOS PROGRAMAS CRECE CONMIGO: UNA INFANCIA FELIZ Y CONSTRUCCIÓN DE ENTORNOS PARA UNA ADOLESCENCIA SANA DE LA SECRETARIA DE DESARROLLO SOCIAL DEL MUNICIPIO DE BUCARAMANGA</t>
  </si>
  <si>
    <t>JUAN PABLO GOMEZ VENEGAS</t>
  </si>
  <si>
    <t>SDS-SDS-CPS-203-2023</t>
  </si>
  <si>
    <t>1098776848</t>
  </si>
  <si>
    <t>VICTOR MANUEL PIMIENTO CASTRO</t>
  </si>
  <si>
    <t>SDS-SDS-CPS-205-2023</t>
  </si>
  <si>
    <t>1098771224</t>
  </si>
  <si>
    <t>CLAUDIA YEPSENIA GOMEZ ROJAS</t>
  </si>
  <si>
    <t>SDS-SDS-CPS-206-2023</t>
  </si>
  <si>
    <t>1098708365</t>
  </si>
  <si>
    <t>PRESTAR SERVICIOS DE APOYO A LA GESTIÓN PARA APOYAR LA OPERATIVIDAD ADMINISTRATIVA DEL PROGRAMA“COLOMBIA MAYOR” Y EL PROGRAMA ADULTO MAYOR Y DIGNO ADSCRITO A LA SECRETARÍA DE DESARROLLO SOCIAL</t>
  </si>
  <si>
    <t>BRIGITHE ANDREA RINCON FIGUEROA</t>
  </si>
  <si>
    <t>SDS-SDS-CPS-204-2023</t>
  </si>
  <si>
    <t>1098700745</t>
  </si>
  <si>
    <t>PRESTAR SERVICIOS PROFESIONALES APOYANDO EL DESARROLLO DE ACTIVIDADES EN COMUNICACIÓN SOCIAL EN LA REDACCIÓN, PRODUCCIÓN Y EDICIÓN DE MATERIAL QUE SE DERIVE DE LA ATENCIÓN INTEGRAL DEL PROGRAMA ADULTO MAYOR Y DIGNO</t>
  </si>
  <si>
    <t>MILENA BERNAL  BECERRA</t>
  </si>
  <si>
    <t>SDS-SDS-CPS-207-2023</t>
  </si>
  <si>
    <t>1095826017</t>
  </si>
  <si>
    <t>BRINDAR ATENCIÓN INTEGRAL PARA LA POBLACIÓN EN HABITANTE EN CALLE, CON ALTA DEPENDENCIA FÍSICA, MENTAL O COGNITIVA</t>
  </si>
  <si>
    <t>SDS-SDS-CA-001-2023</t>
  </si>
  <si>
    <t>PRESTAR SERVICIOS DE APOYO A LA GESTIÓN EN LAS ESTRATEGIAS TERRITORIALES DE CARÁCTER SOCIAL Y COMUNITARIO EN EL PROGRAMA FORTALECIMIENTO DE LAS INSTITUCIONES DEMOCRÁTICAS Y CIUDADANÍA PARTICIPATIVA DEL MUNICIPIO DE BUCARAMANGA.</t>
  </si>
  <si>
    <t>GONZALO SANCHEZ QUIROGA</t>
  </si>
  <si>
    <t>SDS-SDS-CPS-212-2023</t>
  </si>
  <si>
    <t>91158926</t>
  </si>
  <si>
    <t>PRESTAR SERVICIOS PROFESIONALES COMO ABOGADO PARA APOYAR EN LA ASISTENCIA JURÍDICA Y REPRESENTACIÓN JUDICIAL EN LA SECRETARIA DE DESARROLLO SOCIAL EN EL MARCO DEL PROYECTO “MEJORAMIENTO DE LOS PROCESOS TRANSVERSALES PARA UNA ADMINISTRACIÓN PÚBLICA MODERNA Y EFICIENTE EN LA SECRETARÍA DE DESARROLLO SOCIAL DEL MUNICIPIO BUCARAMANGA</t>
  </si>
  <si>
    <t>LAURA XIMENA GONZALEZ LEON</t>
  </si>
  <si>
    <t>SDS-SDS-CPS-211-2023</t>
  </si>
  <si>
    <t>1095822544</t>
  </si>
  <si>
    <t>JUAN DIEGO VILLAMIZAR GARCIA</t>
  </si>
  <si>
    <t>SDS-SDS-CPS-209-2023</t>
  </si>
  <si>
    <t>1098808594</t>
  </si>
  <si>
    <t>JAVIER RANGEL CASTRO</t>
  </si>
  <si>
    <t>SDS-SDS-CPS-208-2023</t>
  </si>
  <si>
    <t>1098771454</t>
  </si>
  <si>
    <t>MARIA AZUCENA CHIA BLANCO</t>
  </si>
  <si>
    <t>SDS-SDS-CPS-210-2023</t>
  </si>
  <si>
    <t>63497497</t>
  </si>
  <si>
    <t>PRESTAR SERVICIOS PROFESIONALES COMO PSICÓLOGO(A) EN EL DESARROLLO DE ACTIVIDADES PARA LA PROMOCIÓN DE LA SALUD MENTAL DE LAS PERSONAS MAYORES EN CONDICIÓN DE VULNERABILIDAD ADSCRITAS A LOS CENTROS VIDA DEL MUNICIPIO DE BUCARAMANGA</t>
  </si>
  <si>
    <t>LAURA XIMENA LOPEZ PINZON</t>
  </si>
  <si>
    <t>SDS-SDS-CPS-213-2023</t>
  </si>
  <si>
    <t>1098774637</t>
  </si>
  <si>
    <t>PAGO DE SERVICIO DE TELEFONÍA MÓVIL DE LOS PROGRAMAS FORTALECIMIENTO DE LAS INSTITUCIONES DEMOCRÁTICAS Y CUIDADANA PARTICIPATIVA,ACELERADORES DE DESARROLLO SOCIAL,ADULTO MAYOR Y DIGNO POR EL PERIODO DE (26-ENERO DEL 2023 - A 25 DE FEBRERO DEL 2023 SEGÚN FACTURA ELECTRÓNICA DE VENTA NO E E 5664764446</t>
  </si>
  <si>
    <t>PAGO DE SERVICIO DE TELEFONÍA FIJA E INTERNET DEL CENTRO VIDA KENNEDDY POR EL PERIODO COMPRENDIDO DE FEBRERO 01 AL 28 DEL 2023 SEGÚN FACTURA NO TBCL-22489808</t>
  </si>
  <si>
    <t>PAGO DE RIESGO PROFESIONALES A 117 EDILES DEL MUNICIPIO DE BUCARAMANGA POR EL PERIODO DE MARZO 01 AL 31 DEL 2023.</t>
  </si>
  <si>
    <t>PAGO DE SEGURIDAD SOCIAL A 117 EDILES DEL MUNICIPIO DE BUCARAMANGA POR EL PERIODO DE MARZO 01 AL 31 DEL 2023.</t>
  </si>
  <si>
    <t xml:space="preserve">PAGO DE SEGURIDAD SOCIAL A 117 EDILES DEL MUNICIPIO DE BUCARAMANGA POR EL PERIODO DE MARZO 01 AL 31 DEL 2023.
</t>
  </si>
  <si>
    <t>PRESTAR SERVICIOS PROFESIONALES PARA LA REALIZACIÓN DE ACCIONES PERTINENTES EN LOS PROCESOS DE TIPO NUTRICIONAL QUE SE IMPLEMENTEN EN EL MARCO DE LOS PROGRAMAS ADSCRITOS A LA SECRETARÍA DE DESARROLLO SOCIAL</t>
  </si>
  <si>
    <t>LIZETH ANDREA GARZON SAAVEDRA</t>
  </si>
  <si>
    <t>SDS-SDS-CPS-214-2023</t>
  </si>
  <si>
    <t>1098693332</t>
  </si>
  <si>
    <t>PAGO DE SERVICIO PUBLICO DE GAS NATURAL DE LOS CENTROS VIDA AÑOS MARAVILLOSOS FACTURA NO F18I9716363 PERIODO COMPRENDIDO DE ENERO 16 DEL 2023 HASTA FEBRERO 16-2023, CENTRO VIDA ALVAREZ FACTURA NO F18I9716374 PERIODO COMPRENDIDO DE ENERO 16 DEL 2023 HASTA FEBRERO 15-2023 Y CENTRO VIDA KENNEDY FACTURA NO F 18I9716311 PERIODO COMPRENDIDO DE ENERO 17 DEL 20232 HASTA FEBRERO 14 DEL 2023</t>
  </si>
  <si>
    <t>JUAN GUILLERMO ESPARZA BLANCO</t>
  </si>
  <si>
    <t>SDS-SDS-CPS-216-2023</t>
  </si>
  <si>
    <t>1005154475</t>
  </si>
  <si>
    <t>PRESTAR SERVICIOS DE APOYO A LA GESTIÓN EN LA ATENCIÓN Y ORIENTACIÓN AL CIUDADANO EN LAS ÁGORAS PARA LA SOCIALIZACIÓN DE LOS PROGRAMAS SOCIALES DE LA SECRETARÍA DE DESARROLLO SOCIAL DEL MUNICIPIO DE BUCARAMANGA.</t>
  </si>
  <si>
    <t>GENNY YORLE OVIEDO NAVARRO</t>
  </si>
  <si>
    <t>SDS-SDS-CPS-215-2023</t>
  </si>
  <si>
    <t>63512066</t>
  </si>
  <si>
    <t>MAVI JHERITZA TARAZONA ARAQUE</t>
  </si>
  <si>
    <t>SDS-SDS-CPS-217-2023</t>
  </si>
  <si>
    <t>1005163603</t>
  </si>
  <si>
    <t>SILVIA FERNANDA PEREZ ARIZA</t>
  </si>
  <si>
    <t>SDS-SDS-CPS-218-2023</t>
  </si>
  <si>
    <t>1095842086</t>
  </si>
  <si>
    <t>LUZDY DAYANA POVEDA ANAYA</t>
  </si>
  <si>
    <t>SDS-SDS-CPS-220-2023</t>
  </si>
  <si>
    <t>1098808601</t>
  </si>
  <si>
    <t>PAULA ANDREA PABON GIL</t>
  </si>
  <si>
    <t>SDS-SDS-CPS-221-2023</t>
  </si>
  <si>
    <t>1005237883</t>
  </si>
  <si>
    <t>YURY LISETH CACERES TAVERA</t>
  </si>
  <si>
    <t>SDS-SDS-CPS-222-2023</t>
  </si>
  <si>
    <t>1095929569</t>
  </si>
  <si>
    <t>ANDRES FELIPE VASQUEZ MELO</t>
  </si>
  <si>
    <t>SDS-SDS-CPS-219-2023</t>
  </si>
  <si>
    <t>1102549989</t>
  </si>
  <si>
    <t>JENNIFFER TATIANA CASTAÑEDA RAMIREZ</t>
  </si>
  <si>
    <t>SDS-SDS-CPS-223-2023</t>
  </si>
  <si>
    <t>1098616903</t>
  </si>
  <si>
    <t>PRESTAR SERVICIOS PROFESIONALES EN LA ATENCIÓN Y RECOLECCIÓN DE DATOS PARA IDENTIFICAR A LA POBLACIÓN AFECTADA POR LAS DIFERENTES SITUACIONES DE EMERGENCIAS SOCIALES, SANITARIAS, NATURALES, ANTRÓPICAS Y DE VULNERABILIDAD EN EL MUNICIPIO DE BUCARAMANGA CON EL PRÓPOSITO DE TERRITORIALIZAR LA OFERTA INSTITUCIONAL.</t>
  </si>
  <si>
    <t>DANIELA ISABEL HERNANDEZ MANTILLA</t>
  </si>
  <si>
    <t>SDS-SDS-CPS-229-2023</t>
  </si>
  <si>
    <t>1026285447</t>
  </si>
  <si>
    <t>PRESTAR SERVICIOS DE APOYO A LA GESTION EN LA ATENCION Y ORIENTACIÓN AL CIUDADANO Y ORGANIZACIONES COMUNALES DENTRO DEL PROGRAMA DE INSTITUCIONES DEMOCRATICAS Y CIUDADANIA PARTICIPATIVA Y APOYO LOGÍSTICO PARA LA SOCIALIZACION DE LOS PROGRAMAS SOCIALES DE LA SECRETARIA DE DESARROLLO SOCIAL DEL MUNICIPIO DE BUCARAMANGA</t>
  </si>
  <si>
    <t>CRISTIAN ANDRES GUTIERREZ VARGAS</t>
  </si>
  <si>
    <t>SDS-SDS-CPS-226-2023</t>
  </si>
  <si>
    <t>1005419735</t>
  </si>
  <si>
    <t>PRESTAR SERVICIO DE APOYO A LA TERRITORIALIZACIÓN DE OFERTA EN EL SECTOR RURAL CON EL PROGRAMA DESARROLLO DEL CAMPO ADSCRITO A LA SECRETARIA DE DESARROLLO SOCIAL DEL MUNICIPIO DE BUCARAMANGA</t>
  </si>
  <si>
    <t>BERNARDO ORDOÑEZ URBANO</t>
  </si>
  <si>
    <t>SDS-SDS-CPS-224-2023</t>
  </si>
  <si>
    <t>87470664</t>
  </si>
  <si>
    <t>PRESTAR SERVICIOS COMO APOYO EN LA GESTIÓN LOGÍSTICA Y ADMINISTRATIVA PARA LA REALIZACIÓN DE ACTIVIDADES CON EL PROPÓSITO DE TERRITORIALIZAR LA OFERTA INSTITUCIONAL DE LA SECRETARIA DE DESARROLLO SOCIAL</t>
  </si>
  <si>
    <t>WILLIAM HUMBERTO CACERES DUARTE</t>
  </si>
  <si>
    <t>SDS-SDS-CPS-228-2023</t>
  </si>
  <si>
    <t>13746980</t>
  </si>
  <si>
    <t>KAREN LORENA RINCON</t>
  </si>
  <si>
    <t>SDS-SDS-CPS-227-2023</t>
  </si>
  <si>
    <t>1005447997</t>
  </si>
  <si>
    <t>PAGO DE SERVICIO DE INTERNET DE LOS PROGRAMAS PROGRAMA MUJER Y EQUIDAD DE GENERO CRARRERA 34 NO 35-39 BARRIO ALVAREZ(CENTRO INTEGRAL DE LA MUJER) PROGRAMA ADULTO MAYOR DIAGONAL 14 NO 56-02 BARRIO GOMEZ NIÑO (CENTRO VIDA AÑOS MARAVILLOSOS) PROGRAMA ADULTO MAYOR CALLE 33 NO 40-18 BARRIO ALVAREZ (CENTRO VIDA ALVAREZ) PROGRAMA HABITANTE DE CALLE CALLE 30 NO 17-74 BARRIO CENTRO POR EL PERIODO MARZO 01 HASTA MARZO 31 DEL 2023 SEGÚN FACTURAS DE SERVICIO NO 003 - 291114267</t>
  </si>
  <si>
    <t>PAGO DE SERVICIO DE INTERNET AGORA PROVENZA PERIODOS: (MARZO 01 AL 31 DEL 2023)SEGÚN REFERENCIA DE PAGO 9508565441-30 CONTRATO DE SERVICIO NO 19166503</t>
  </si>
  <si>
    <t>GISELLY YONNETY DURAN  CALA</t>
  </si>
  <si>
    <t>SDS-SDS-CPS-225-2023</t>
  </si>
  <si>
    <t>1098699467</t>
  </si>
  <si>
    <t>JOHTMAM  SAUL SEPULVEDA  ANAYA</t>
  </si>
  <si>
    <t>SDS-SDS-CPS 230-2023</t>
  </si>
  <si>
    <t>1098749072</t>
  </si>
  <si>
    <t>PAGO DE SERVICIO DE GAS NATURAL -CASA BÚHO POR EL PERIODO COMPRENDIDO DE DICIEMBRE 28 DEL 2022 HASTA FEBRERO 15 DEL 2023 SEGUN FACTURA DE SERVICIO F18I9716263</t>
  </si>
  <si>
    <t>PRESTAR SERVICIOS PROFESIONALES EN PSICOLOGIA PARA APOYAR LA EJECUCIÓN DE ESTRATEGIAS ORIENTADAS AL FOMENTO DE LA PARTICIPACIÓN Y LIDERAZGO DE NIÑOS, NIÑAS Y ADOLESCENTES Y LA PREVENCIÓN DE VIOLENCIAS EN ADOLESCENTES IMPLEMENTADAS POR LA SECRETARÍA DE DESARROLLO SOCIAL DE BUCARAMANGA</t>
  </si>
  <si>
    <t>JENNY PAOLA ORTIZ PEÑALOZA</t>
  </si>
  <si>
    <t>SDS-SDS-CPS-231-2023</t>
  </si>
  <si>
    <t>1098781551</t>
  </si>
  <si>
    <t>PRESTAR SERVICIOS PROFESIONALES PARA LA IMPLEMENTACIÓN DE ESTRATEGIAS LUDICOPEDAGÓGICAS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t>
  </si>
  <si>
    <t>MARIA  FERNANDA GRANADOS  TARAZONA</t>
  </si>
  <si>
    <t>SDS-SDS-CPS-232-2023</t>
  </si>
  <si>
    <t>1005162892</t>
  </si>
  <si>
    <t>SERVICIO EXEQUIAL DIRIGIDA A (I) NIÑOS, NIÑAS Y ADOLESCENTES, (II) PERSONAS MAYORES, (III) POBLACIÓN HABITANTE DE CALLE, EN SITUACIÓN DE VULNERABILIDAD, POBREZA O EXTREMA POBREZA, ENTRE OTRAS, E INHUMACIÓN Y EXHUMACIÓN DE CADÁVERES NO IDENTIFICADOS (N.N.) O NO RECLAMADOS DEL MUNICIPIO DE BUCARAMANGA</t>
  </si>
  <si>
    <t>SDS-SDS-SASI-001-2023</t>
  </si>
  <si>
    <t>CESAR ALONSO MELGAREJO MENDEZ</t>
  </si>
  <si>
    <t>SDS-SDS-CPS-233-2023</t>
  </si>
  <si>
    <t>13862199</t>
  </si>
  <si>
    <t>JUAN CARLOS MELENDEZ MARTINEZ</t>
  </si>
  <si>
    <t>SDS-SDS-CPS-235-2023</t>
  </si>
  <si>
    <t>91246014</t>
  </si>
  <si>
    <t>LINA CALA AMOROCHO</t>
  </si>
  <si>
    <t>SDS-SDS-CPS-234-2023</t>
  </si>
  <si>
    <t>63367271</t>
  </si>
  <si>
    <t>PAGO DE SERVICIO DE ACUEDUCTO, ALCANTARILLADO Y ASEO POR EL PERIODO DE ENERO 01 A ENERO 31 DEL 2023 DE LOS CENTROS VIDA KENNEDY-AÑOS MARAVILLOSOS,ALVAREZ SEGÚN FACTURAS DE SERVICIO NO NO 9186186-9147662-9138697</t>
  </si>
  <si>
    <t>PAGO DE SERVICIO DE ACUEDUCTO ALCANTARILLADO Y ASEO DE CASA BUHO, POR EL PERIODO DE ENERO 01 A ENERO 31 DEL 2023,SEGUN FACTURA DE SERVICIO NO 9116317</t>
  </si>
  <si>
    <t>MAIDA LOPEZ PLATA</t>
  </si>
  <si>
    <t>SDS-SDS-CPS-236-2023</t>
  </si>
  <si>
    <t>63365868</t>
  </si>
  <si>
    <t>REALIZAR EL PROCESO DE HABILITACIÓN Y REHABILITACIÓN INTEGRAL DIRIGIDA A NIÑOS, NIÑAS Y ADOLESCENTES CON DISCAPACIDAD INTELECTUAL DEL MUNICIPIO DE BUCARAMANGA, CON EL FIN DE MEJORAR SU CALIDAD DE VIDA Y PROPENDER POR LA FUNCIONALIDAD, INDEPENDENCIA E INCLUSIÓN SOCIAL</t>
  </si>
  <si>
    <t>SDS-SDS-CA-003-2023</t>
  </si>
  <si>
    <t>REALIZAR EL PROCESO DE HABILITACIÓN Y REHABILITACIÓN DE NIÑOS, NIÑAS, ADOLESCENTES, JÓVENES Y ADULTOS CON DISCAPACIDAD DEL SECTOR URBANO Y RURAL DEL MUNICIPIO DE BUCARAMANGA A TRAVÉS DE LA ESTRATEGIA DE REHABILITACIÓN BASADA EN COMUNIDAD –RBC-.</t>
  </si>
  <si>
    <t>SDS-SDS-CA-002-2023</t>
  </si>
  <si>
    <t>REALIZAR EL PROCESO DE HABILITACIÓN Y REHABILITACIÓN INTEGRAL DIRIGIDO A NIÑOS, NIÑAS Y ADOLESCENTES CON DISCAPACIDAD FÍSICA, INTELECTUAL Y MÚLTIPLE DEL MUNICIPIO DE BUCARAMANGA, A TRAVÉS DEL ARTE, CULTURA Y DEPORTE ADAPTADO CON EL FIN DE MEJORAR SU CALIDAD DE VIDA Y PROPENDER POR SU FUNCIONALIDAD, INDEPENDENCIA E INCLUSIÓN SOCIAL</t>
  </si>
  <si>
    <t>SDS-SDS-CA-004-2023</t>
  </si>
  <si>
    <t>JOSE GREGORIO RODRIGUEZ  HERNANDEZ</t>
  </si>
  <si>
    <t>SDS-SDS-CPS-238-2023</t>
  </si>
  <si>
    <t>91496640</t>
  </si>
  <si>
    <t>BRINDAR A LA COMUNIDAD ACCESO GRATUITO ORIENTADO AL DESARROLLO DE ESPACIOS DE FORMACIÓN, ACTUALIZACIÓN Y RECONOCIMIENTO DE LA ECONOMÍA DE CUIDADO PARA LAS MUJERES DEL MUNICIPIO DE BUCARAMANGA</t>
  </si>
  <si>
    <t>CONTRATO INTERADMINISTRATIVO</t>
  </si>
  <si>
    <t>CORPORACION CENTRO DE CONVENCIONES, CIENCIA, TECNOLOGIA, INNOVACION Y CULTURA DE</t>
  </si>
  <si>
    <t>2.3.2.02.02.009.4502038.96290.201</t>
  </si>
  <si>
    <t>SDS-SDS-CI-002-2023</t>
  </si>
  <si>
    <t>804008684</t>
  </si>
  <si>
    <t>SANDRA PATRICIA HURTADO ARENALES</t>
  </si>
  <si>
    <t>SDS-SDS-CPS-237-2023</t>
  </si>
  <si>
    <t>37863034</t>
  </si>
  <si>
    <t>AUNAR ESFUERZOS PARA LA ASISTENCIA Y ATENCIÓN INTEGRAL DE LAS PERSONAS MAYORES EN CONDICIONES DE VULNERABILIDAD A TRAVÉS DEL DESARROLLO DE LOS PROGRAMAS CENTRO VIDA Y CENTRO DE BIENESTAR</t>
  </si>
  <si>
    <t>2.3.2.02.02.009.4104008.93304.288</t>
  </si>
  <si>
    <t>SDS-SDS-CA-013-2023</t>
  </si>
  <si>
    <t>SERVICIO DE ATENCION Y PROTECCION INTEGRAL AL ADULTO MAYOR ESTAMPILLA PARA EL BIENESTAR DEL ADULTO MAYOR DEPARTAMENTAL 288</t>
  </si>
  <si>
    <t>2.3.2.02.02.009.4104008.93491.288</t>
  </si>
  <si>
    <t>SERVICIO DE ATENCION Y PROTECCION INTEGRAL AL ADULTO MAYOR DEPARTAMENTAL 288</t>
  </si>
  <si>
    <t>PAGO DE SERVICIO PUBLICO DE ENERGÍA ELECTRICA DE LOS CENTROS VIDAS AÑOS MARAVILLOSOS, ALVAREZ, KENNEDY POR EL PERIODO COMPRENDIDO DE FEBRERO 01 AL 28 DEL 2023, SEGÚN FACTURAS DE SERVICIOS NO 204651478 - 204653452 - 20465310.</t>
  </si>
  <si>
    <t>PAGO SERVICIO DE INTERNET EN LAS ÁGORAS DE LIBERTAD,NORTE BAJO,BUCARAMANGA,VILLA DEL PRADO,GRANJAS DE PROVENZA,DIAMANTE,GAITAN,JOYA,PORVENIR,EL ROCIÓ ,SAN MIGUEL,SANTANDER,KENNEDDY PERIODO: MARZO 01 HASTA MARZO 31 DEL 2023 FACTURAS NO R 1011991836 - R 1011991850 - R 1012039521 - R 1012039541 - R 1012039557 R 1011991821 - R 1012039509 - R 1011991923 - R 1011991909 - R 1012039495 - R 1011991869 - R 1011991888 R -1011980205</t>
  </si>
  <si>
    <t>2.3.2.02.02.009.4502001.91119.201</t>
  </si>
  <si>
    <t>PAGO DE SERVICIO DE INTERNET DE LAS ÁGORAS (CAFÉ MADRID,SAN
CRISTOBAL,ESPERANZA,CENTRO,FERIA,MONTERREDOND,MIRAMAR,NUEVA COLOMBIA,REGADERO,CORDONCILLO)PERIODO: PERIODO: FEBRERO 25 A MARZO 18 Y MARZO 18 HASTA ABRIL 18 DEL -2023 FACTURA NO BCPT7854486</t>
  </si>
  <si>
    <t>PAGO DE SERVICIO DE ACUEDUCTO,ALCANTARILLADO Y ASEO POR EL PERIODO DE ENERO 01 AL 31 DEL 2023 DE LAS ÁGORAS LA FERIA- BUCARAMANGA - SAN MIGUEL- -NORTE BAJO-BUCARAMANGA SEGÚN FACTURAS DE SERVICIOS NO 9223397- 9173690 - 9145819 -9157322</t>
  </si>
  <si>
    <t>SDS-SDS-CA-011-2023</t>
  </si>
  <si>
    <t xml:space="preserve">AUNAR ESFUERZOS PARA LA ASISTENCIA Y ATENCIÓN INTEGRAL DE LAS PERSONAS MAYORES EN CONDICIONES DE VULNERABILIDAD A TRAVÉS DEL DESARROLLO DE LOS PROGRAMAS CENTRO VIDA Y CENTRO DE BIENESTAR
</t>
  </si>
  <si>
    <t>SDS-SDS-CA-009-2023</t>
  </si>
  <si>
    <t>SDS-SDS-CA-007-2023</t>
  </si>
  <si>
    <t>PRESTAR SERVICIOS PROFESIONALES PARA LA IMPLEMENTACION DE LA ESTRATEGIA DE ORIENTACIÓN Y ATENCIÓN A PERSONAS CON DISCAPACIDAD PSICOSOCIAL Y SUS FAMILIAS</t>
  </si>
  <si>
    <t>CINDY STEPHANY RODRIGUEZ RODRIGUEZ</t>
  </si>
  <si>
    <t>SDS-SDS-CPS-240-2023</t>
  </si>
  <si>
    <t>1098679719</t>
  </si>
  <si>
    <t>PRESTAR SERVICIOS DE APOYO A LA GESTIÓN ORIENTADOS AL BIENESTAR SOCIAL, EL DISFRUTE DE LA CIUDAD Y LA IMPLEMENTACIÓN DE LA POLÍTICA PÚBLICA PARA LA POBLACIÓN SEXUALMENTE DIVERSA DEL MUNICIPIO AL INTERIOR DEL PROGRAMA BUCARAMANGA, HÁBITAT PARA EL CUIDADO Y LA CORRESPONSABILIDAD.</t>
  </si>
  <si>
    <t>MARTHA GABRIELA ESCOBAR MUÑOZ</t>
  </si>
  <si>
    <t>SDS-SDS-CPS-241-2023</t>
  </si>
  <si>
    <t>1010001926</t>
  </si>
  <si>
    <t>REALIZAR EL PROCESO DE HABILITACIÓN Y REHABILITACIÓN INTEGRAL A NIÑOS, NIÑAS Y ADOLESCENTES CON DISCAPACIDAD MÚLTIPLE, INTELECTUAL Y DEL TRASTORNO DEL ESPECTRO AUTISTA DEL MUNICIPIO DE BUCARAMANGA A TRAVÉS DE LA NEUROREHABILITACIÓN, HABILITACIÓN PSICOMOTRIZ, COGNITIVA Y ENFOQUE TERAPÉUTICO ABA; CON EL FIN DE MEJORAR SU CALIDAD DE VIDA Y PROPENDER POR SU FUNCIONALIDAD, INDEPENDENCIA E INCLUSIÓN SOCIAL</t>
  </si>
  <si>
    <t>SA-SA-CD-003-2023</t>
  </si>
  <si>
    <t>SDS-SDS-CA-008-2023</t>
  </si>
  <si>
    <t>2.3.2.02.02.009.4104008.93304.258</t>
  </si>
  <si>
    <t>SERVICIO DE ATENCION Y PROTECCION INTEGRAL AL ADULTO MAYOR ESTAMPILLA MUNICIPAL 258</t>
  </si>
  <si>
    <t>PRESTAR SERVICIOS PROFESIONALES COMO ABOGADA PARA LA IMPLEMENTACIÓN DE LA POLÍTICA PÚBLICA PARA LAS PERSONAS CON ORIENTACIONES SEXUALES E IDENTIDADES DE GÉNERO DIVERSAS Y LAS ACCIONES DE ATENCIÓN JURÍDICA, PREVENCIÓN DE VIOLENCIAS Y SENSIBILIZACIÓN EN DIVERSIDAD SEXUAL DENTRO DEL PROGRAMA BUCARAMANGA, HÁBITAT PARA EL CUIDADO Y LA CORRESPONSABILIDAD.</t>
  </si>
  <si>
    <t>LEIDY TATIANA LIZCANO QUINTERO</t>
  </si>
  <si>
    <t>SDS-SDS-CPS-239-2023</t>
  </si>
  <si>
    <t>1098799345</t>
  </si>
  <si>
    <t>SDS-SDS-CA-018-2023</t>
  </si>
  <si>
    <t>SDS-SDS-CA-014-2023</t>
  </si>
  <si>
    <t>SDS-SDS-CA-017-2023</t>
  </si>
  <si>
    <t>SDS-DS-CA-015-2023</t>
  </si>
  <si>
    <t>SDS-SDS-CA-016-2023</t>
  </si>
  <si>
    <t>SDS-SDS-CA-010-2023</t>
  </si>
  <si>
    <t>2.3.2.02.02.009.4104008.93304.201</t>
  </si>
  <si>
    <t>PAGO DE SERVICIO DE TELEFONÍA FIJA E INTERNET DEL CENTRO VIDA KENNEDDY POR EL PERIODO COMPRENDIDO DE MARZO 01 HASTA MARZO 31 DEL 2023 SEGÚN FACTURA NO TBCL-22568433</t>
  </si>
  <si>
    <t>PAGO DE SERVICIO DE TELEFONÍA MÓVIL DE LOS PROGRAMAS FORTALECIMIENTO DE LAS INSTITUCIONES DEMOCRÁTICAS Y CUIDADANA PARTICIPATIVA,ACELERADORES DE DESARROLLO SOCIAL,ADULTO MAYOR Y DIGNO POR EL PERIODO DE (26-FEBRERO DEL 2023 - HASTA EL 25 DE MARZO DEL 2023) SEGÚN FACTURA ELECTRÓNICA DE VENTA NO E 5674863427</t>
  </si>
  <si>
    <t>PAGO SERVICIO DE INTERNET EN LAS ÁGORAS DE LIBERTAD,NORTE BAJO,BUCARAMANGA,VILLA DEL PRADO,GRANJAS DE PROVENZA,DIAMANTE,GAITAN,JOYA,PORVENIR,EL ROCIÓ ,SAN MIGUEL,SANTANDER, KENNEDDY PERIODO: ABRIL 01 HASTA ABRIL 30 DEL 2023;
FACTURAS NO R1015436635- R1015436648 - R1015484173- R1015484186- R1015484195-R1015436623- R1015484163 -R1015436694- R1015436680- R1015484153 - R1015436659- R1015436669 - R1015424133</t>
  </si>
  <si>
    <t>PRESTAR SERVICIOS DE TRANSPORTE Y CARGA DE BIENES PARA LA REALIZACIÓN DE LAS FERIAS INSTITUCIONALES EN EL MARCO DE LAS ACTIVIDADES MISIONALES DE LA SECRETARÍA DE DESARROLLO SOCIAL DEL MUNICIPIO DE BUCARAMANGA.</t>
  </si>
  <si>
    <t>MÍNIMA CUANTÍA</t>
  </si>
  <si>
    <t>PORTES DE COLOMBIA S.A.S.</t>
  </si>
  <si>
    <t>2.3.2.02.02.009.4103052.65119.201</t>
  </si>
  <si>
    <t>SDS-SDS-MC-001-2023</t>
  </si>
  <si>
    <t>SERVICIO DE GESTION DE OFERTA SOCIAL PARA LA POBLACION VULNERABLE .201</t>
  </si>
  <si>
    <t>830006177</t>
  </si>
  <si>
    <t>PRESTAR SERVICIOS DE APOYO A LA GESTIÓN PARA LA IMPLEMENTACIÓN DE ACCIONES ORIENTADAS A LA GENERACIÓN DE ENTORNOS PROTECTORES PARA NIÑOS, NIÑAS Y ADOLESCENTES PARA LA PREVENCIÓN DE VIOLENCIAS Y TRABAJO INFANTIL EN EL MARCO DE LOS PROGRAMAS PRIMERA INFANCIA, EL CENTRO DE LA SOCIEDAD; CRECE CONMIGO: UNA INFANCIA FELIZ Y CONSTRUCCIÓN DE ENTORNOS PARA UNA ADOLESCENCIA SANA EN LA SECRETARIA DE DESARROLLO SOCIAL DEL MUNICIPIO DE BUCARAMANGA</t>
  </si>
  <si>
    <t>CARLA  VICTORIA MORENO RAMIREZ</t>
  </si>
  <si>
    <t>SDS-SDS-CPS-243-2023</t>
  </si>
  <si>
    <t>63453683</t>
  </si>
  <si>
    <t>PRESTAR SERVICIOS PROFESIONALES PARA APOYAR EL DESARROLLO DE LA ESTRATEGIA DE PARTICIPACIÓN DEMOCRÁTICA Y EL FORTALECIMIENTO DE LOS LIDERAZGOS JUVENILES PARA EL DESARROLLO INTEGRAL Y EL EMPRENDIMIENTO</t>
  </si>
  <si>
    <t>JUAN FELIPE HERNANDEZ PINZON</t>
  </si>
  <si>
    <t>SDS-SDS-CPS-242-2023</t>
  </si>
  <si>
    <t>1098409003</t>
  </si>
  <si>
    <t>ADQUISICIÓN DE JUEGOS PEDAGÓGICOS PARA LOS NIÑOS Y NIÑAS EN EL MARCO DE LA GARANTÍA DEL DERECHO AL JUEGO Y EL HOMENAJE AL DIA DE LA NIÑEZ DEL MUNICIPIO DE BUCARAMANGA</t>
  </si>
  <si>
    <t>CONTRATO DE COMPRAVENTA</t>
  </si>
  <si>
    <t>JAIRO OSORIO CABALLERO</t>
  </si>
  <si>
    <t>2.3.2.02.01.003.4102038.3844098.201</t>
  </si>
  <si>
    <t>SDS-SDS-MC-002-2023</t>
  </si>
  <si>
    <t>91282210</t>
  </si>
  <si>
    <t>PRESTACIÓN DEL SERVICIO INTEGRAL DE ASEO Y CAFETERÍA EN LOS DIFERENTES INMUEBLES DE PROPIEDAD DEL MUNICIPIO DE BUCARAMANGA, JUNTO CON EL SUMINISTRO DE INSUMOS Y ELEMENTOS Y LA MAQUINARIA RESPECTIVA DE ACUERDO A LAS ESPECIFICACIONES TÉCNICAS</t>
  </si>
  <si>
    <t>65 ADM</t>
  </si>
  <si>
    <t>SELECCION ABREVIADA</t>
  </si>
  <si>
    <t>UNION TEMPORAL ECOLIMPIEZA 4G</t>
  </si>
  <si>
    <t>Administrativa</t>
  </si>
  <si>
    <t>901676833</t>
  </si>
  <si>
    <t>PRESTAR SERVICIOS COMO APOYO EN LA GESTIÓN LOGISTICA Y ADMINISTRATIVA PARA LA REALIZACIÓN DE ACTIVIDADES CON EL PROPÓSITO DE TERRITORIALIZAR LA OFERTA INSTITUCIONAL DE LA SECRETARIA DE DESARROLLO SOCIAL</t>
  </si>
  <si>
    <t>ALVARO BERBESI MARULANDA</t>
  </si>
  <si>
    <t>SDS-SDS-CPS-244-2023</t>
  </si>
  <si>
    <t>91265853</t>
  </si>
  <si>
    <t>MARIVEL ACOSTA DAVILA</t>
  </si>
  <si>
    <t>SDS-SDS-CPS-245-2023</t>
  </si>
  <si>
    <t>60322498</t>
  </si>
  <si>
    <t>PAGO DE RIESGOS PROFESIONALES A 117 EDILES DEL MUNICIPIO DE BUCARAMANGA POR EL PERIODO DE ABRIL 01 AL 30 DEL 2023</t>
  </si>
  <si>
    <t>PAGO DE SEGURIDAD SOCIAL A 117 EDILES DEL MUNICIPIO DE BUCARAMANGA POR EL PERIODO DE ABRIL 01 AL 30 DEL 2023</t>
  </si>
  <si>
    <t>PAGO DE SERVICIO DE GAS NATURAL -CASA BÚHO POR PERIODO COMPRENDIDO FEBRERO 15 HASTA MARZO 13 DEL 2023 SEGUN FACTURA F18I10101180</t>
  </si>
  <si>
    <t>PAGO DE SERVICIO PUBLICO DE GAS NATURAL DE LOS CENTROS VIDA AÑOS MARAVILLOSOS FACTURA NO F18I10101294 PERIODO COMPRENDIDO DE FEBRERO 16 DEL 2023 HASTA MARZO 15 DEL 2023,CENTRO VIDA ALVAREZ FACTURA NO F18I10101309 PERIODO COMPRENDIDO DE FEBRERO 28 HASTA MARZO 15 DEL -2023 Y CENTRO VIDA KENNEDY FACTURA NO F18I10101234 PERIODO COMPRENDIDO DE FEBRERO 14 HASTA MARZO 15 DEL 2023</t>
  </si>
  <si>
    <t>PRESTAR SERVICIO DE APOYO A LA GESTION A LOS ORGANISMOS COMUNALES DE SEGUNDO GRADO Y LA ASOCIACIONES DE MIEMBROS DE JUNTAS ADMINISTRADORAS LOCALES EN LA ATENCIÓN Y ORIENTACIÓN DE USUARIOS DENTRO DEL PROGRAMA INSTITUCIONES DEMOCRÁTICAS Y CIUDADANÍA PARTICIPATIVA ASI COMO EN LA LOGÍSTICA PARA LA SOCIALIZACION DE LOS PROGRAMAS SOCIALES DE LA SECRETARIA DE DESARROLLO SOCIAL DEL MUNICIPIO DE BUCARAMANGA</t>
  </si>
  <si>
    <t>JARHY VALENTINA PEREZ ESTEBAN</t>
  </si>
  <si>
    <t>SDS-SDS-CPS-246-2023</t>
  </si>
  <si>
    <t>1099735690</t>
  </si>
  <si>
    <t>PRESTAR SERVICIOS PROFESIONALES PARA BRINDAR APOYO PSICOSOCIAL EN LA INMERSIÓN Y MATERIALIZACIÓN DE LA ESTRATEGIA DE PARTICIPACIÓN CIUDADANA EN EL MUNICIPIO DE BUCARAMANGA.</t>
  </si>
  <si>
    <t>LINA MARCELA PEREZ  ALVAREZ</t>
  </si>
  <si>
    <t>SDS-SDS-CPS-247-2023</t>
  </si>
  <si>
    <t>1095840056</t>
  </si>
  <si>
    <t>BRINDAR A LA COMUNIDAD ACCESO GRATUITO A UN ESPECTÁCULO MUSICAL Y TEATRAL PARA EL HOMENAJE A LA NIÑEZ COMO ESTRATEGIA DE APROVECHAMIENTO DEL TIEMPO LIBRE Y LA UNIÓN FAMILIAR ORIENTADO POR LOS PROGRAMAS DE PRIMERA INFANCIA, INFANCIA Y ADOLESCENCIA DE LA SECRETARIA DE DESARROLLO SOCIA DEL MUNICIPIO DE BUCARAMANGA</t>
  </si>
  <si>
    <t>2.3.2.02.02.009.4102038.91124.201</t>
  </si>
  <si>
    <t>SDS-SDS-CI-003-2023</t>
  </si>
  <si>
    <t>PRESTAR SERVICIOS PROFESIONALES EN LA ATENCIÓN Y RECOLECCIÓN DE DATOS PARA IDENTIFICAR A LA POBLACIÓN AFECTADA POR LAS DIFERENTES SITUACIONES DE EMERGENCIAS SOCIALES, SANITARIAS, NATURALES, ANTRÓPICAS Y DE VULNERABILIDAD EN EL MUNICIPIO DE BUCARAMANGA CON EL PROPÓSITO DE TERRITORIALIZAR LA OFERTA INSTITUCIONAL.</t>
  </si>
  <si>
    <t>JUAN CARLOS PEDROZA MANTILLA</t>
  </si>
  <si>
    <t>SDS-SDS-CPS-248-2023</t>
  </si>
  <si>
    <t>1098816821</t>
  </si>
  <si>
    <t>GERSON YAHIR RODRIGUEZ FLOREZ</t>
  </si>
  <si>
    <t>SDS-SDS-CPS-249-2023</t>
  </si>
  <si>
    <t>1098649915</t>
  </si>
  <si>
    <t>PAGO DE SERVICIO DE ACUEDUCTO, ALCANTARILLADO Y ASEO POR EL PERIODO DE FEBRERO 01 HASTA FEBRERO 28 DEL 2023 DE LOS CENTROS VIDA KENNEDY-ALVAREZ
PAGO DE SERVICIO DE ACUEDUCTO, ALCANTARILLADO Y ASEO POR EL PERIODO DE FEBRERO 01 HASTA FEBRERO 28 DEL 2023 DE LOS CENTROS VIDA KENNEDY-ALVAREZ
Y AÑOS MARAVILLOSOS,SEGÚN FACTURAS DE SERVICIO NO 9502607,9455074,9464040.</t>
  </si>
  <si>
    <t>PAGO DE SERVICIO DE ACUEDUCTO ALCANTARILLADO Y ASEO DE CASA BUHO, POR EL PERIODO DE FEBRERO 01 HASTA FEBRERO 28 DEL 2023,SEGUN FACTURA DE SERVICIO NO 9432646</t>
  </si>
  <si>
    <t>PAGO DE SERVICIO DE ACUEDUCTO,ALCANTARILLADO Y ASEO POR EL PERIODO DE FEBRERO 01 AL 38 DEL 2023 DE LAS ÁGORAS LA FERIA- BUCARAMANGA - SAN MIGUEL- NORTE BAJO-BUCARAMANGA SEGÚN FACTURAS DE SERVICIOS NO 9223397- 9473701-9462196 - 9490103</t>
  </si>
  <si>
    <t>JAVIER ENRIQUE GARCIA LIZARAZO</t>
  </si>
  <si>
    <t>SDS-SDS-CPS-252-2023</t>
  </si>
  <si>
    <t>91498037</t>
  </si>
  <si>
    <t>PRESTAR SERVICIOS COMO APOYO EN LA GESTIÒN LOGISTICA Y ADMINISTRATIVA PARA LA REALIZACIÓN DE ACTIVIDADES CON EL PROPÓSITO DE TERRITORIALIZAR LA OFERTA INSTITUCIONAL DE LA SECRETARIA DE DESARROLLO SOCIAL</t>
  </si>
  <si>
    <t>JESUS ELIECER CEPEDA ABREO</t>
  </si>
  <si>
    <t>SDS-SDS-CPS-251-2023</t>
  </si>
  <si>
    <t>1095797574</t>
  </si>
  <si>
    <t>PRESTAR SERVICIOS PROFESIONALES COMO ABOGADA PARA LA ATENCIÓN, REVISIÓN Y ASESORÍA DEL PROGRAMA ADULTO MAYOR Y DIGNO PROMOVIENDO LA GARANTÍA Y RESTABLECIMIENTO DE DERECHOS DE LAS PERSONAS MAYORES VULNERABLES DEL MUNICIPIO DE BUCARAMANGA.</t>
  </si>
  <si>
    <t>SILVIA KATHERINE PUENTES  ARCHILA</t>
  </si>
  <si>
    <t>SDS-SDS-CPS-250-2023</t>
  </si>
  <si>
    <t>1098803057</t>
  </si>
  <si>
    <t>PRESTACIÓN DE SERVICIOS DE CATERING PARA EL SUMINISTRO DIARIO DE ALIMENTOS PARA BENEFICIARIOS DE LA SECRETARÍA DE DESARROLLO SOCIAL DEL MUNICIPIO DE BUCARAMANGA</t>
  </si>
  <si>
    <t>CONTRATO DE SUMINISTROS</t>
  </si>
  <si>
    <t>UNION TEMPORAL ALIMENTOS BUCARAMANGA 2023</t>
  </si>
  <si>
    <t>2.3.2.02.02.006.4102001.63399.201</t>
  </si>
  <si>
    <t>SDS-SDS-CA</t>
  </si>
  <si>
    <t>901704760</t>
  </si>
  <si>
    <t>PAGO DE SERVICIO DE INTERNET AGORA PROVENZA PERIODOS: (ABRIL 01 HASTA ABRIL 30 DEL 2023 DEL 2023)SEGÚN REFERENCIA DE PAGO 9510962913-95 CONTRATO DE SERVICIO NO 19166503</t>
  </si>
  <si>
    <t>PRESTAR SERVICIOS PROFESIONALES PARA APOYAR LAS DIVERSAS ACTIVIDADES DEL PROGRAMA FAMILIAS EN ACCIÓN ESPECIALMENTE LAS RELACIONADAS CON EL COMPONENTE DE BIENESTAR COMUNITARIO Y LOS PROCESOS DE VERIFICACIÓN EN EDUCACIÓN</t>
  </si>
  <si>
    <t>ANA MILENA RODRIGUEZ CELY</t>
  </si>
  <si>
    <t>SDS-SDS-CPS-253-2023</t>
  </si>
  <si>
    <t>1098729190</t>
  </si>
  <si>
    <t>PRESTAR SERVICIOS PROFESIONALES EN PSICOLOGIA PARA LA IMPLEMENTACIÓN DE INICIATIVA DE CIRCUITOS DEL CUIDADO Y ESTRATEGIAS DE PREVENCIÓN DE FACTORES DE RIESGO QUE SE IMPLEMENTEN EN EL MARCO DE LOS PROGRAMAS DE LA SECRETARÍA DE DESARROLLO SOCIAL</t>
  </si>
  <si>
    <t>SANDRA YAMILE LOZANO BUITRAGO</t>
  </si>
  <si>
    <t>SDS-SDS-CPS-254-2023</t>
  </si>
  <si>
    <t>63451356</t>
  </si>
  <si>
    <t>RONALD EDUARDO ALMEIDA JAIMES</t>
  </si>
  <si>
    <t>SDS-SDS-CPS-255-2023</t>
  </si>
  <si>
    <t>1095933740</t>
  </si>
  <si>
    <t>PAGO DE SERVICIO DE INTERNET DE LOS PROGRAMAS PROGRAMA MUJER Y EQUIDAD DE GENERO CARRERA 34 NO 35-39 BARRIO ALVAREZ(CENTRO INTEGRAL DE LA MUJER) PROGRAMA ADULTO MAYOR DIAGONAL 14 NO 56-02 BARRIO GOMEZ NIÑO (CENTRO VIDA AÑOS MARAVILLOSOS) PROGRAMA ADULTO MAYOR CALLE 33 NO 40-18 BARRIO ALVAREZ (CENTRO VIDA ALVAREZ) PROGRAMA HABITANTE DE CALLE CALLE 30 NO 17-74 BARRIO CENTRO POR EL PERIODO ABRIL 01 HASTA ABRIL 30 DEL 2023 SEGÚN FACTURAS DE SERVICIO NO 3 - 291158952</t>
  </si>
  <si>
    <t>PRESTACIÓN DE SERVICIOS DE VIGILANCIA Y SEGURIDAD PRIVADA CON ARMA, SIN ARMA, MEDIOS TECNOLÓGICOS Y MEDIO CANINO PARA LA PROTECCIÓN DE LAS PERSONAS Y CON EL FIN DE SALVAGUARDAR LOS BIENES MUEBLES E INMUEBLES QUE SE ENCUENTRAN BAJO LA TENENCIA, POSESIÓN O DOMINIO DE LA ADMINISTRACIÓN CENTRAL MUNICIPAL DE BUCARAMANGA Y DONDE LA ENTIDAD LOS REQUIERA</t>
  </si>
  <si>
    <t>60 ADM</t>
  </si>
  <si>
    <t>LICITACIÓN PÚBLICA</t>
  </si>
  <si>
    <t>SEGURIDAD ATEMPI LTDA</t>
  </si>
  <si>
    <t>2.3.2.02.02.008.4102001.85250.201</t>
  </si>
  <si>
    <t>860074752</t>
  </si>
  <si>
    <t>2.3.2.02.02.009.4104026.85250.201</t>
  </si>
  <si>
    <t>SERVICIO DE ARTICULACION DE OFERTA SOCIAL PARA LA POBLACION HABITANTE DE CALLE .201</t>
  </si>
  <si>
    <t>PRESTAR SERVICIOS PROFESIONALES EN DERECHO PARA EL FORTALECIMIENTO DE LAS RUTAS DE ATENCIÓN A CASOS DE VIOLENCIA DE GÉNERO Y ASISTENCIA TÉCNICA JURÍDICA PARA EL BIENESTAR DE LAS MUJERES DESDE EL PROGRAMA MUJER Y EQUIDAD DE GÉNEROS DE LA SECRETARIA DE DESARROLLO SOCIAL DEL MUNICIPIO DE BUCARAMANGA.</t>
  </si>
  <si>
    <t>MARIA CAMILA ROSSO GAUTA</t>
  </si>
  <si>
    <t>SDS-SDS-CPS-256-2023</t>
  </si>
  <si>
    <t>1193560167</t>
  </si>
  <si>
    <t xml:space="preserve">PAGO DE SERVICIO PÚBLICO DE ENERGÍA ELÉCTRICA DE CASA BÚHO POR EL PERIODO DE MARZO 01 AL 30 DEL 2023, SEGUN FACTURA NO PAGO DE SERVICIO PÚBLICO DE ENERGÍA ELÉCTRICA DE CASA BÚHO POR EL PERIODO DE ENERO 01 AL 31 DEL 2023, SEGUN FACTURA NO 205874687
</t>
  </si>
  <si>
    <t>PAGO DE SERVICIO PÙBLICO DE ENERGIA ELECTRICA DE LOS CENTROS VIDAS AÑOS MARAVILLOSOS, ALVAREZ, KENNEDY POR EL PERIODO COMPRENDIDO DE MARZO 01 AL 308 DEL 2023, SEGÚN FACTURAS DE SERVICIOS NO 205874776- 205874499- 205876381</t>
  </si>
  <si>
    <t xml:space="preserve">PAGO DE SERVICIO DE ENERGÍA ELÉCTRICA DE LAS ÁGORAS LA FERIA,SAN MIGUEL,BUCARAMANGA, GAITAN Y BELLAVISTA CORRESPONDIENTE AL PERIODO DE FEBRERO 01 HASTA FEBRERO 28 Y MARZO 01 HASTA MARZO 31-2023,SEGÚN FACTURA NO 20587432-205874784-205876734-205874301-205876644
</t>
  </si>
  <si>
    <t>PRESTAR SERVICIOS PROFESIONALES PARA LA ASISTENCIA TÉCNICA Y ACOMPAÑAMIENTO DE LOS PROYECTOS QUE SE EJECUTEN EN EL SECTOR AGRÍCOLA DEL MUNICIPIO DE BUCARAMANGA, POR LA SECRETARIA DE DESARROLLO SOCIAL.</t>
  </si>
  <si>
    <t>MARIO CHACON MENDEZ</t>
  </si>
  <si>
    <t>SDS-SDS-CPS-257-2023</t>
  </si>
  <si>
    <t>91152863</t>
  </si>
  <si>
    <t>PAGO DE SERVICIO DE TELEFONÍA MÓVIL DE LOS PROGRAMAS FORTALECIMIENTO DE LAS INSTITUCIONES DEMOCRÁTICAS Y CUIDADANA PARTICIPATIVA,ACELERADORES DE DESARROLLO SOCIAL,ADULTO MAYOR Y DIGNO POR EL PERIODO DE (26-MARZO DEL 2023 - HASTA EL 25 DE ABRIL DEL 2023) SEGÚN FACTURA ELECTRÓNICA DE VENTA NO E 568484590</t>
  </si>
  <si>
    <t>PAGO DE SERVICIO DE INTERNET DE LAS ÁGORAS (CAFÉ MADRID,SAN CRISTOBAL,ESPERANZA,CENTRO,FERIA,MONTERREDONDO,MIRAMAR,NUEVACOLOMBIA,REGADERO,CORDONCILLO)PERIODO: PERIODO: ABRIL 18 DEL -2023 HASTA MAYO 18 DEL 2023 FACTURA NO BCPT11700781</t>
  </si>
  <si>
    <t xml:space="preserve">PAGO DE SERVICIO DE INTERNET AGORA PROVENZA PERIODOS: (MAYO 01 HASTA MAYO 31 DEL 2023 DEL 2023)SEGÚN REFERENCIA DE PAGO 9513196727-19 CONTRATO DE SERVICIO NO 19166503
</t>
  </si>
  <si>
    <t xml:space="preserve">PRESTAR SERVICIOS PARA APOYAR EL DESARROLLO DE LA ESTRATEGIA DE PARTICIPACIÓN DEMOCRÁTICA Y EL FORTALECIMIENTO DE LOS LIDERAZGOS JUVENILES PARA EL DESARROLLO INTEGRAL Y EL EMPRENDIMIENTO
</t>
  </si>
  <si>
    <t>BRAYAN DANIEL ARIZA BARRERA</t>
  </si>
  <si>
    <t>SDS-SDS-CPS-258-2023</t>
  </si>
  <si>
    <t>1098709370</t>
  </si>
  <si>
    <t xml:space="preserve">ATENCIÓN INTEGRAL E INCLUSIÓN SOCIAL EN ESCENARIOS DE PROMOCIÓN DE LAS PERSONAS EN HABITABILIDAD EN CALLE EN EL MUNICIPIO DE BUCARAMANGA
</t>
  </si>
  <si>
    <t>SDS-SDS-CA-006-2023-1</t>
  </si>
  <si>
    <t xml:space="preserve">PAGO DE SERVICIO PUBLICO DE GAS NATURAL DE LOS CENTROS VIDA AÑOS MARAVILLOSOS FACTURA NO F18I10461192 PERIODO COMPRENDIDO DE MARZO 15 DEL 2023 HASTA ABRIL 14 DEL 2023,CENTRO VIDA ALVAREZ FACTURA NOF18I10461207 PERIODO COMPRENDIDO DE MARZO 13 DEL -2023 HASTA ABRIL 14 DEL 2023, Y CENTRO VIDA KENNEDY FACTURA NO F18I10461132 PERIODO COMPRENDIDO DE MARZO 15 DEL 2023 HASTA ABRIL 15-2023
</t>
  </si>
  <si>
    <t xml:space="preserve">PAGO DE SERVICIO DE TELEFONÍA FIJA E INTERNET DEL CENTRO VIDA KENNEDDY POR EL PERIODO COMPRENDIDO DE ABRIL 01 HASTA ABRIL 30 DEL 2023 SEGÚN FACTURA NO TBCL-22645391
</t>
  </si>
  <si>
    <t xml:space="preserve">PAGO DE SERVICIO DE GAS NATURAL -CASA BÚHO SEGUN FACTURA NO F18I10461078 PERIODO COMPRENDIDO MARZO 13 DEL 2023 HASTA ABRIL 14 DEL 2023
</t>
  </si>
  <si>
    <t>PAGO DE RIESGOS PROFESIONALES A 117 EDILES DEL MUNICIPIO DE BUCARAMANGA POR EL PERIODO DE MAYO 01 AL 31 DEL 2023</t>
  </si>
  <si>
    <t>PAGO DE SEGURIDAD SOCIAL A 117 EDILES DEL MUNICIPIO DE BUCARAMANGA POR EL PERIODO DE MAYO 01 AL 31 DEL 2023</t>
  </si>
  <si>
    <t>PRESTAR SERVICIOS PROFESIONALES PARA LA PROMOCIÓN DE ACTIVIDADES FÍSICAS LUDICO RECREATIVAS Y BUEN USO DEL TIEMPO LIBRE DIRIGIDAS A LAS PERSONAS MAYORES DE LOS CENTROS VIDA DEL MUNICIPIO</t>
  </si>
  <si>
    <t>SILVIA  JULIANA HERNANDEZ MAYORGA</t>
  </si>
  <si>
    <t>SDS-SDS-CPS-260-2023</t>
  </si>
  <si>
    <t>1098784812</t>
  </si>
  <si>
    <t xml:space="preserve">PRESTAR SERVICIOS DE APOYO EN LA GESTIÓN DOCUMENTAL Y ORGANIZACIÓN DEL ARCHIVO DE LA SECRETARIA DE DESARROLLO SOCIAL EN EL MARCO DEL PROYECTO “MEJORAMIENTO DE LOS PROCESOS TRANSVERSALES PARA UNA ADMINISTRACIÓN PUBLICA MODERNA Y EFICIENTE EN LA SECRETARÍA DE DESARROLLO SOCIAL DEL MUNICIPIO BUCARAMANGA
</t>
  </si>
  <si>
    <t>CONTRATO DE PRESTACIÓN DE SERVICIOS</t>
  </si>
  <si>
    <t>MARIA AZUCENA DUARTE</t>
  </si>
  <si>
    <t>SDS-SDS-CPS-259-2023</t>
  </si>
  <si>
    <t>63512947</t>
  </si>
  <si>
    <t xml:space="preserve">PRESTAR SERVICIOS PROFESIONALES EN EL DESARROLLO DE LAS ESTRATEGIAS Y ACTIVIDADES DE LOS PROGRAMAS PRIMERA INFANCIA, INFANCIA Y ADOLESCENCIA DE LA SECRETARIA DE DESARROLLO SOCIAL DEL MUNICIPIO DE BUCARAMANGA
</t>
  </si>
  <si>
    <t>MARIA  HELENA CARRIZALES SARMIENTO</t>
  </si>
  <si>
    <t>SDS-SDS-CPS-261-2023</t>
  </si>
  <si>
    <t>63501708</t>
  </si>
  <si>
    <t>PAGO SERVICIO DE INTERNET EN LAS ÁGORAS DE LIBERTAD,NORTE BAJO,BUCARAMANGA,DIAMANTE,GAITAN,JOYA,PORVENIR,EL ROCIO ,SAN MIGUEL,SANTANDER,KENNEDDY PERIODO: MAYO 01 HASTA MAYO 31 DEL 2023 FACTURAS NO R 1018885763 R 1018885781 R 1018933537 R 1018885755 R 1018933523 R 1018885835 R 1018885820 R 1018933513 R 1018885798 R 1018885806 R 1018872742</t>
  </si>
  <si>
    <t xml:space="preserve">PRESTAR SERVICIOS PROFESIONALES COMO PSICÓLOGA AL INTERIOR DE LOS PROGRAMAS MAS EQUIDAD PARA LAS MUJERES Y BUCARAMANGA HÁBITAT PARA EL CUIDADO, MEDIANTE EL APOYO AL ÁREA ASESORA DE MUJER Y EQUIDAD DE GENERO
</t>
  </si>
  <si>
    <t>MONICA JEREZ LOZANO</t>
  </si>
  <si>
    <t>SDS-SDS-CPS-262-2023</t>
  </si>
  <si>
    <t>37617396</t>
  </si>
  <si>
    <t>BRINDAR ATENCIÓN E INCLUSIÓN SOCIAL EN LA MODALIDAD DE HOGAR DE PASO 24 HORAS A LOS CIUDADANOS EN HABITABILIDAD EN CALLE DEL MUNICIPIO DE BUCARAMANGA</t>
  </si>
  <si>
    <t>SDS-SDS-PC-001-2023-01</t>
  </si>
  <si>
    <t xml:space="preserve">PRESTAR SERVICIOS PROFESIONALES EN EL DESARROLLO DE LAS ESTRATEGIAS Y ACTIVIDADES DE LOS PROGRAMAS PRIMERA INFANCIA, INFANCIA Y ADOLESCENCIA DE LA SECRETARIA DE DESARROLLO SOCIAL DEL MUNICIPIO DE BUCARAMANGA.
</t>
  </si>
  <si>
    <t>GINA ALEXANDRA RUIZ REY</t>
  </si>
  <si>
    <t>SDS-SDS-CPS-263-2023</t>
  </si>
  <si>
    <t>1014197723</t>
  </si>
  <si>
    <t>PRESTAR SERVICIOS COMO OPERADOR TURÍSTICO PARA LA ASISTENCIA Y PARTICIPACIÓN DE LA ASOCIACIÓN MUNICIPAL DE JUNTAS ADMINISTRADORAS LOCALES Y CORREGIMIENTOS DE BUCARAMANGA-ASOMIJALCO Y LA ASOCIACIÓN DE EDILES DE BUCARAMANGA-ASOEDILES EN EL II CONGRESO NACIONAL DE MUJERES EDILES DE COLOMBIA “POR LA PAZ, LA PARTICIPACIÓN Y LA INCLUSIÓN</t>
  </si>
  <si>
    <t>LEOVIGILDO RAMIREZ BARAJAS</t>
  </si>
  <si>
    <t>SDS-SDS-MC-098-2023</t>
  </si>
  <si>
    <t>13925568</t>
  </si>
  <si>
    <t xml:space="preserve">PRESTAR SERVICIOS COMO APOYO EN LA GESTIÓN LOGISTICA Y ADMINISTRATIVA PARA LA REALIZACIÓN DE ACTIVIDADES CON EL PROPÓSITO DE TERRITORIALIZAR LA OFERTA INSTITUCIONAL DE LA SECRETARIA DE DESARROLLO SOCIAL
</t>
  </si>
  <si>
    <t>WILMER  GIOVANNY GALEANO  SANCHEZ</t>
  </si>
  <si>
    <t>SDS-SDS-CPS-265-2023</t>
  </si>
  <si>
    <t>1095932441</t>
  </si>
  <si>
    <t xml:space="preserve">PRESTAR SERVICIOS PROFESIONALES PARA EL DESARROLLO DE ACTIVIDADES ARTÍSTICAS EN LAS PERSONAS MAYORES EN CONDICIÓN DE VULNERABILIDAD Y/O ADSCRITAS EN LOS CENTROS VIDA DEL MUNICIPIO DE BUCARAMANGA
</t>
  </si>
  <si>
    <t>OSMEL YADIN ANGARITA PACHECO</t>
  </si>
  <si>
    <t>SDS-SDS-CPS-264-2023</t>
  </si>
  <si>
    <t>88030538</t>
  </si>
  <si>
    <t>JERSY ARLEY AVILA MELGAREJO</t>
  </si>
  <si>
    <t>SDS-SDS-CPS-267-2023</t>
  </si>
  <si>
    <t>1100952906</t>
  </si>
  <si>
    <t>ATENCIÓN INTEGRAL E INCLUSIÓN SOCIAL EN ESCENARIOS DE PROMOCIÓN DE LAS PERSONAS EN HABITABILIDAD EN CALLE EN EL MUNICIPIO DE BUCARAMANGA</t>
  </si>
  <si>
    <t>SDS-SDS-CA-019-2023-1</t>
  </si>
  <si>
    <t xml:space="preserve">ADICIONAR EN TIEMPO Y VALOR AL CONTRATO NO 563 DEL 2023, CUYO OBJETO CONTRACTUAL ES PRESTAR SERVICIOS PROFESIONALES COMO ABOGADO (A) ESPECIALIZADO (A) PARA APOYAR LA COORDINACIÓN DE LA GESTIÓN JURÍDICA Y CONTRACTUAL EN EL MARCO DEL PROYECTO “MEJORAMIENTO DE LOS PROCESOS TRANSVERSALES PARA UNA ADMINISTRACIÓN PUBLICA MODERNA Y EFICIENTE EN LA SECRETARÍA DE DESARROLLO SOCIAL DEL MUNICIPIO DE BUCARAMANGA.
</t>
  </si>
  <si>
    <t>ADICIONAR EN TIEMPO Y VALOR AL CONTRATO NO 480 DEL 2023, CUYO OBJETO CONTRACTUAL ES PRESTAR SERVICIOS PROFESIONALES COMO ABOGADO (A) PARA APOYAR LA GESTIÓN JURÍDICA Y CONTRACTUAL DE LA SECRETARIA, EN EL MARCO DEL PROYECTO “MEJORAMIENTO DE LOS PROCESOS TRANSVERSALES PARA UNA ADMINISTRACIÓN PUBLICA MODERNA Y EFICIENTE EN LA SECRETARÍA DE DESARROLLO SOCIAL DEL MUNICIPIO BUCARAMANGA</t>
  </si>
  <si>
    <t xml:space="preserve">ADICIONAR EN TIEMPO Y VALOR AL CONTRATO NO 489 DEL 2023, CUYO OBJETO CONTRACTUAL ES PRESTAR SERVICIOS PROFESIONALES PARA APOYAR LOS PROCESOS DE PLANEACION PRESUPUESTAL, CONTRACTUAL Y ADMINISTRATIVA, ASÍ COMO LA ELABORACIÓN DE INFORMES FINANCIEROS, DE GESTION Y SEGUIMIENTO A LAS METAS DE LOS PROGRAMAS SOCIALES DE CONFORMIDAD CON EL PLAN DE DESARROLLO MUNICIPAL, EN EL MARCO DEL PROYECTO “MEJORAMIENTO DE LOS PROCESOS TRANSVERSALES PARA UNA ADMINISTRACIÓN PUBLICA MODERNA Y EFICIENTE EN LA SECRETARÍA DE DESARROLLO SOCIAL DEL MUNICIPIO BUCARAMANGA
</t>
  </si>
  <si>
    <t xml:space="preserve">ADICIONAR EN TIEMPO Y VALOR AL CONTRATO NO 617 DEL 2023, CUYO OBJETO CONTRACTUAL ES 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
</t>
  </si>
  <si>
    <t xml:space="preserve">ADICIONAR EN TIEMPO Y VALOR AL CONTRATO NO 484 DEL 2023, CUYO OBJETO CONTRACTUAL ES PRESTAR SERVICIOS PROFESIONALES COMO ABOGADO (A) PARA APOYAR LOS ASUNTOS LEGALES Y CONTRACTUALES EN EL MARCO DEL PROYECTO “MEJORAMIENTO DE LOS PROCESOS TRANSVERSALES PARA UNA ADMINISTRACIÓN PUBLICA MODERNA Y EFICIENTE EN LA SECRETARÍA DE DESARROLLO SOCIAL DEL MUNICIPIO BUCARAMANGA
</t>
  </si>
  <si>
    <t xml:space="preserve">ADICIONAR EN TIEMPO Y VALOR AL CONTRATO NO 560 DEL 2023, CUYO OBJETO CONTRACTUAL ESPRESTAR SERVICIOS PROFESIONALES PARA EL APOYO A LA GESTIÓN ADMINISTRATIVA, EN ACTIVIDADES DE IMPLEMENTACION, VERIFICACIÓN Y SEGUIMIENTO DE LOS PROCESOS DEL SISTEMA INTEGRADO DE GESTIÓN DE CALIDAD Y DE GESTIÓN DEL RIESGO Y CUMPLIMIENTO A LOS PLANES DE MEJORAMIENTO INSTITUCIONALES.
</t>
  </si>
  <si>
    <t xml:space="preserve">ADICIONAR EN TIEMPO Y VALOR AL CONTRATO NO 517 DEL 2023, CUYO OBJETO CONTRACTUAL ES PRESTAR SERVICIOS PROFESIONALES PARA APOYAR LA GESTIÓN PRESUPUESTAL EN EL MARCO DEL PROYECTO “MEJORAMIENTO DE LOS PROCESOS TRANSVERSALES PARA UNA ADMINISTRACIÓN PUBLICA MODERNA Y EFICIENTE EN LA SECRETARÍA DE DESARROLLO SOCIAL DEL MUNICIPIO BUCARAMANGA
</t>
  </si>
  <si>
    <t>ADICIONAR EN TIEMPO Y VALOR AL CONTRATO NO 491 DEL 2023, CUYO OBJETO CONTRACTUAL ES 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t>
  </si>
  <si>
    <t xml:space="preserve">ADICIONAR EN TIEMPO Y VALOR AL CONTRATO NO 483 DEL 2023, CUYO OBJETO CONTRACTUAL ES PRESTAR SERVICIOS PROFESIONALES COMO ABOGADO (A) PARA APOYAR LA GESTIÓN JURÍDICA Y CONTRACTUAL DE LA SECRETARIA, EN EL MARCO DEL PROYECTO “MEJORAMIENTO DE LOS PROCESOS TRANSVERSALES PARA UNA ADMINISTRACIÓN PUBLICA MODERNA Y EFICIENTE EN LA SECRETARÍA DE DESARROLLO SOCIAL DEL MUNICIPIO BUCARAMANGA
</t>
  </si>
  <si>
    <t>ADICIONAR EN TIEMPO Y VALOR AL CONTRATO NO 482 DEL 2023, CUYO OBJETO CONTRACTUAL ES PRESTAR SERVICIOS PROFESIONALES COMO ECONOMISTA PARA APOYAR LA SUPERVISIÓN DE CONTRATOS Y CONVENIOS EN VIRTUD DE LA GESTIÓN JURÍDICA Y CONTRACTUAL DE LA SECRETARIA DE DESARROLLO SOCIAL, EN EL MARCO DEL PROYECTO “MEJORAMIENTO DE LOS PROCESOS TRANSVERSALES PARA UNA ADMINISTRACIÓN PUBLICA MODERNA Y EFICIENTE EN LA SECRETARÍA DE DESARROLLO SOCIAL DEL MUNICIPIO BUCARAMANGA</t>
  </si>
  <si>
    <t xml:space="preserve">ADICIONAR EN TIEMPO Y VALOR AL CONTRATO NO 481 DEL 2023, CUYO OBJETO CONTRACTUAL ES PRESTAR SERVICIOS PROFESIONALES PARA APOYAR LA GESTIÓN ADMINISTRATIVA MEDIANTE LA RECOLECCIÓN, ANÁLISIS, CARGUE Y RENDICIÓN DE INFORMES CONTRACTUALES EN LAS DIFERENTES PLATAFORMAS DISPUESTAS POR LA ENTIDAD Y ENTES DE CONTROL, EN EL MARCO DEL PROYECTO “MEJORAMIENTO DE LOS PROCESOS TRANSVERSALES PARA UNA ADMINISTRACIÓN PUBLICA MODERNA Y EFICIENTE EN LA SECRETARÍA DE DESARROLLO SOCIAL DEL MUNICIPIO BUCARAMANGA
</t>
  </si>
  <si>
    <t xml:space="preserve">ADICIONAR EN TIEMPO Y VALOR AL CONTRATO NO 479 DEL 2023, CUYO OBJETO CONTRACTUAL ES PRESTAR SERVICIOS DE APOYO A LA GESTIÓN LOGISTICA ADMINISTRATIVA EN LOS PROCESOS CONTRACTUALES EN EL MARCO DEL PROYECTO “MEJORAMIENTO DE LOS PROCESOS TRANSVERSALES PARA UNA ADMINISTRACIÓN PUBLICA MODERNA Y EFICIENTE EN LA SECRETARÍA DE DESARROLLO SOCIAL DEL MUNICIPIO BUCARAMANGA
</t>
  </si>
  <si>
    <t xml:space="preserve">ADICIONAR EN TIEMPO Y VALOR AL CONTRATO NO 560 DEL 2023, CUYO OBJETO CONTRACTUAL ES 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
</t>
  </si>
  <si>
    <t xml:space="preserve">ADICIONAR EN TIEMPO Y VALOR AL CONTRATO NO 490 DEL 2023, CUYO OBJETO CONTRACTUAL ES PRESTAR SERVICIOS PROFESIONALES COMO ABOGADO (A) PARA APOYAR LA GESTIÓN JURÍDICA Y CONTRACTUAL DE LA SECRETARIA, EN EL MARCO DEL PROYECTO “MEJORAMIENTO DE LOS PROCESOS TRANSVERSALES PARA UNA ADMINISTRACIÓN PUBLICA MODERNA Y EFICIENTE EN LA SECRETARÍA DE DESARROLLO SOCIAL DEL MUNICIPIO BUCARAMANGA.
</t>
  </si>
  <si>
    <t xml:space="preserve">PAGO DE SERVICIO DE ACUEDUCTO ALCANTARILLADO Y ASEO DE CASA BÚHO, POR EL PERIODO DE MARZO 01 AL 31 DEL 2023 SEGUN FACTURA DE SERVICIO NO 9749672
</t>
  </si>
  <si>
    <t>PAGO DE SERVICIO DE ACUEDUCTO, ALCANTARILLADO Y ASEO POR EL PERIODO DE MARZO 01 HASTA MARZO 31 DEL 2023 DE LOS CENTROS VIDA KENNEDY-ALVAREZ
Y AÑOS MARAVILLOSOS,SEGÚN FACTURAS DE SERVICIO NO 9819775 -9781096 - 9772120</t>
  </si>
  <si>
    <t>PAGO DE SERVICIO DE ACUEDUCTO,ALCANTARILLADO Y ASEO POR EL PERIODO DE MARZO 01 AL 31 DEL 2023 DE LAS ÁGORAS LA FERIA- BUCARAMANGA - SAN MIGUEL- NORTE BAJO-BUCARAMANGA SEGÚN FACTURAS DE SERVICIOS NO PAGO DE SERVICIO DE ACUEDUCTO,ALCANTARILLADO Y ASEO POR EL PERIODO DE FEBRERO 01 AL 38 DEL 2023 DE LAS ÁGORAS LA FERIA- BUCARAMANGA - SAN MIGUEL- NORTE BAJO-BUCARAMANGA SEGÚN FACTURAS DE SERVICIOS NO 9807270 - 9807270 - 9790760 - 9790760</t>
  </si>
  <si>
    <t xml:space="preserve">ADICIONAR EN TIEMPO Y VALOR AL CONTRATO NO 549 DEL 2023, CUYO OBJETO CONTRACTUAL ES PRESTAR SERVICIOS PROFESIONALES PARA APOYAR LOS PROCESOS PRESUPUESTALES Y ADMINISTRATIVOS, ASÍ COMO LA ELABORACIÓN DE INFORMES FINANCIEROS Y DE GESTION DE LA SECRETARIA DE DESARROLLO SOCIAL, EN EL MARCO DEL PROYECTO MEJORAMIENTO DE LOS PROCESOS TRANSVERSALES PARA UNA ADMINITRACION PUBLICA MODERNA Y EFICIENTE EN LA SECRETARIA DE DESARROLLO SOCIAL DEL MUNICIPIO DE BUCARAMANGA.
</t>
  </si>
  <si>
    <t xml:space="preserve">ADICIONAR EN TIEMPO Y VALOR AL CONTRATO NO 561 DEL 2023, CUYO OBJETO CONTRACTUAL ES PRESTAR SERVICIOS DE APOYO EN LA GESTIÓN ADMINISTRATIVA Y MANEJO DE LOS SISTEMAS INFORMÁTICOS EN EL MARCO DEL PROYECTO "MEJORAMIENTO DE LOS PROCESOS TRANSVERSALES PARA UNA ADMINISTRACIÓN PUBLICA MODERNA Y EFICIENTE EN LA SECRETARÍA DE DESARROLLO SOCIAL DEL MUNICIPIO BUCARAMANGA
</t>
  </si>
  <si>
    <t>ADICIONAR EN TIEMPO Y VALOR AL CONTRATO NO 478 DEL 2023, CUYO OBJETO CONTRACTUAL ES PRESTAR SERVICIO DE APOYO COMO CONDUCTOR A LOS DIFERENTES PROGRAMAS DE LA SECRETARIA DE DESARROLLO SOCIAL DEL MUNICIPIO DE BUCARAMANGA</t>
  </si>
  <si>
    <t xml:space="preserve">ADICIONAR EN TIEMPO Y VALOR AL CONTRATO NO 576 DEL 2023, CUYO OBJETO CONTRACTUAL ES PRESTAR SERVICIOS DE APOYO LOGÍSTICO Y ADMINISTRATIVO EN EL MARCO DEL PROYECTO “MEJORAMIENTO DE LOS PROCESOS TRANSVERSALES PARA UNA ADMINISTRACIÓN PÚBLICA MODERNA Y EFICIENTE EN LA SECRETARÍA DE DESARROLLO SOCIAL DEL MUNICIPIO DE BUCARAMANGA.
</t>
  </si>
  <si>
    <t>PAGO DE SERVICIO DE INTERNET DE LOS PROGRAMAS PROGRAMA MUJER Y EQUIDAD DE GENERO CARRERA 34 NO 35-39 BARRIO ALVAREZ(CENTRO INTEGRAL DE LA MUJER) PROGRAMA ADULTO MAYOR DIAGONAL 14 NO 56-02 BARRIO GOMEZ NIÑO (CENTRO VIDA AÑOS MARAVILLOSOS) PROGRAMA ADULTO MAYOR CALLE 33 NO 40-18 BARRIO ALVAREZ (CENTRO VIDA ALVAREZ) PROGRAMA HABITANTE DE CALLE CALLE 30 NO 17-74 BARRIO CENTRO POR EL PERIODO MAYO 01 HASTA MAYO 31 DEL 2023 SEGÚN FACTURA DE SERVICIO NO 3 - 291203375</t>
  </si>
  <si>
    <t xml:space="preserve">PAGO DE SERVICIO PÚBLICO DE ENERGÍA ELÉCTRICA DE CASA BÚHO POR EL PERIODO DE ABRIL 01 AL 30 DEL 2023, SEGUN FACTURA NO 206960002
</t>
  </si>
  <si>
    <t>PAGO DE SERVICIO PÚBLICO DE ENERGÍA ELÉCTRICA DE LOS CENTROS VIDAS AÑOS MARAVILLOSOS, ALVAREZ, KENNEDY POR EL PERIODO COMPRENDIDO DE ABRIL 01 AL 30 DEL 2023, SEGÚN FACTURAS DE SERVICIOS NO 206961849 -206957448 - 206959418</t>
  </si>
  <si>
    <t>ADICIONAR EN TIEMPO Y VALOR AL CONTRATO NO 631 DEL 2023, CUYO OBJETO CONTRACTUAL ES PRESTAR SERVICIOS PROFESIONALES COMO ABOGADO (A) PARA APOYAR LA GESTIÓN JURÍDICA Y CONTRACTUAL DE LA SECRETARIA, EN EL MARCO DEL PROYECTO “MEJORAMIENTO DE LOS PROCESOS TRANSVERSALES PARA UNA ADMINISTRACIÓN PUBLICA MODERNA Y EFICIENTE EN LA SECRETARÍA DE DESARROLLO SOCIAL DEL MUNICIPIO BUCARAMANGA</t>
  </si>
  <si>
    <t>ADQUISICIÓN DE ELEMENTOS DE FERRETERÍA PARA EL DESARROLLO DE ESTRATEGIAS ENMARCADAS EN LOS PROGRAMAS DE MUJER E INFANCIA ADSCRITOS A LA SECRETARÍA DE DESARROLLO SOCIAL DEL MUNICIPIO DE BUCARAMANGA.</t>
  </si>
  <si>
    <t>DANIEL TARAZONA</t>
  </si>
  <si>
    <t>2.3.2.01.01.003.04.4502038.4653901.201</t>
  </si>
  <si>
    <t>SDS-SDS-MC-114-2023</t>
  </si>
  <si>
    <t>91220557</t>
  </si>
  <si>
    <t>2.3.2.02.01.003.4102038.3511004.201</t>
  </si>
  <si>
    <t>2.3.2.02.01.003.4502038.3511004.201</t>
  </si>
  <si>
    <t>PRESTAR SERVICIO DE ALQUILER DE BATERÍAS SANITARIAS MÓVILES PARA CUMPLIR CON LAS ACTIVIDADES MISIONALES DE LA SECRETARÍA DE DESARROLLO SOCIAL DEL MUNICIPIO DE BUCARAMANGA.</t>
  </si>
  <si>
    <t>COMRED SAS</t>
  </si>
  <si>
    <t>SDS-SDS-MC-006-2023</t>
  </si>
  <si>
    <t>804001612</t>
  </si>
  <si>
    <t>PAGO DE SERVICIO DE ENERGÍA ELÉCTRICA DE LAS ÁGORAS SAN MIGUEL,BUCARAMANGA, GAITAN Y BELLAVISTA CORRESPONDIENTE AL PERIODO DE ABRIL 01 HASTA ABRIL 30 DEL 2023,SEGÚN FACTURA NO 206961857 - 206957420 - 206957420 - 206960044</t>
  </si>
  <si>
    <t xml:space="preserve">ADICIONAR EN TIEMPO Y VALOR AL CONTRATO NO 1390 DEL 2023, CUYO OBJETO CONTRACTUAL ES PRESTAR SERVICIOS PROFESIONALES APOYANDO EL DESARROLLO DE ACCIONES Y ACTIVIDADES EN TRABAJO SOCIAL PARA PROCURAR LA PROTECCIÓN, PROMOCIÓN Y DEFENSA DE LOS DERECHOS DE LAS PERSONAS MAYORES EN CONDICIÓN DE VULNERABILIDAD Y/O ADSCRITOS A LOS CENTROS VIDA DEL MUNICIPIO.
</t>
  </si>
  <si>
    <t>SUMINISTRO DE COMPLEMENTOS NUTRICIONALES (TIPO MERCADO) PARA LA ATENCIÓN DE LOS BENEFICIARIOS EN CONDICIONES DE VULNERABILIDAD ECONÓMICA Y SOCIAL DE LOS DIFERENTES PROGRAMAS DE LA SECRETARÍA DE DESARROLLO SOCIAL DEL MUNICIPIO DE BUCARAMANGA CON EL FIN DE CONTRIBUIR AL MEJORAMIENTO DE SUS CONDICIONES DE VIDA</t>
  </si>
  <si>
    <t>UNIÓN TEMPORAL FAVORECIENDO A LA COMUNIDAD</t>
  </si>
  <si>
    <t>2.3.2.02.01.002.4102038.2399926.201</t>
  </si>
  <si>
    <t>SDS-SDS-SASI-003-2023</t>
  </si>
  <si>
    <t>901715420</t>
  </si>
  <si>
    <t>2.3.2.02.01.002.4103052.2399926.201</t>
  </si>
  <si>
    <t>2.3.2.02.01.002.4104008.2399926.220</t>
  </si>
  <si>
    <t>ESTAMPILLA PARA EL BIENESTAR DEL ADULTO MAYOR MUNICIPAL 220</t>
  </si>
  <si>
    <t>M&amp;G PROYECTOS E INVERSIONES SAS</t>
  </si>
  <si>
    <t>2.3.2.02.01.002.4104008.2399926.201</t>
  </si>
  <si>
    <t>901422981</t>
  </si>
  <si>
    <t>2.3.2.02.01.002.4104008.2399926.258</t>
  </si>
  <si>
    <t>2.3.2.02.01.002.4104020.2399926.201</t>
  </si>
  <si>
    <t xml:space="preserve">PRESTAR SERVICIOS DE APOYO LOGÍSTICO PARA EL DESARROLLO DE LAS ACTIVIDADES MISIONALES DE LOS DIFERENTES PROGRAMAS DE LA SECRETARÍA DE DESARROLLO SOCIAL DEL MUNICIPIO DE BUCARAMANGA
</t>
  </si>
  <si>
    <t xml:space="preserve">SELECCIÓN ABREVIADA MENOR CUANTIA </t>
  </si>
  <si>
    <t>2.3.2.02.01.002.4104026.2399926.201</t>
  </si>
  <si>
    <t>SDS-SDS-SAMC-001-2023</t>
  </si>
  <si>
    <t>2.3.2.02.02.009.4102038.96290.201</t>
  </si>
  <si>
    <t>2.3.2.02.02.009.4104008.96290.201</t>
  </si>
  <si>
    <t>2.3.2.02.02.009.4104020.96290.201</t>
  </si>
  <si>
    <t>2.3.2.02.02.009.4502001.96290.201</t>
  </si>
  <si>
    <t>PAGO DE SERVICIO DE TELEFONÍA MÓVIL DE LOS PROGRAMAS FORTALECIMIENTO DE LAS INSTITUCIONES DEMOCRÁTICAS Y CUIDADANA PARTICIPATIVA,ACELERADORES DE DESARROLLO SOCIAL,ADULTO MAYOR Y DIGNO POR EL PERIODO DE (26-ABRIL DEL 2023 - HASTA EL 25 DE MAYO DEL 2023) SEGÚN FACTURA ELECTRÓNICA DE VENTA NO E 5694685574</t>
  </si>
  <si>
    <t>PRESTAR SERVICIOS PROFESIONALES PARA APOYAR LA GESTIÓN PRESUPUESTAL EN EL MARCO DEL PROYECTO "APOYO A LA GESTIÓN ADMINISTRATIVA Y PROCESOS TRANSVERSALES DE LA SECRETARIA DE DESARROLLO SOCIAL DEL MUNICIPIO DE BUCARAMANGA"</t>
  </si>
  <si>
    <t>2.3.2.02.02.009.4599031.91114.501</t>
  </si>
  <si>
    <t>SDS-SDS-CPS-268-2023</t>
  </si>
  <si>
    <t>SERVICIO DE ASISTENCIA TECNICA 501</t>
  </si>
  <si>
    <t>PRESTAR SERVICIOS PROFESIONALES COMO ABOGADO (A) PARA APOYAR LA GESTION JURIDICA Y CONTRACTUAL DE LA SECRETARIA, EN EL MARCO DEL PROYECTO "APOYO A LA GESTIÓN ADMINISTRATIVA Y PROCESOS TRANSVERSALES DE LA SECRETARIA DE DESARROLLO SOCIAL DEL MUNICIPIO DE BUCARAMANGA"</t>
  </si>
  <si>
    <t>SDS-SDS-CPS-272-2023</t>
  </si>
  <si>
    <t>PRESTAR SERVICIOS DE APOYO LOGÍSTICO Y ADMINISTRATIVO EN EL MARCO DEL PROYECTO "APOYO A LA GESTIÓN ADMINISTRATIVA Y PROCESOS TRANSVERSALES DE LA SECRETARIA DE DESARROLLO SOCIAL DEL MUNICIPIO DE BUCARAMANGA"</t>
  </si>
  <si>
    <t>SDS-SDS-CPS-278-2023</t>
  </si>
  <si>
    <t>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 PROCESOS TRANSVERSALES PARA UNA ADMINISTRACIÓN PUBLICA Y EFICIENTE EN LA SECRETARIA DE DESARROLLO SOCIAL DEL MUNICIPIO DE BUCARAMANGA"</t>
  </si>
  <si>
    <t>SDS-SDS-CPS-280-2023</t>
  </si>
  <si>
    <t>PRESTAR SERVICIOS DE APOYO A LA GESTIÓN LOGÍSTICA ADMINISTRATIVA EN LOS PROCESOS CONTRACTUALES EN EL MARCO DEL PROYECTO "APOYO A LA GESTIÓN ADMINISTRATIVA Y PROCESOS TRANSVERSALES DE LA SECRETARIA DE DESARROLLO SOCIAL DEL MUNICIPIO DE BUCARAMANGA"</t>
  </si>
  <si>
    <t>SDS-SDS-CPS-277-2023</t>
  </si>
  <si>
    <t>PRESTAR SERVICIOS PROFESIONALES PARA APOYAR LA GESTIÓN ADMINISTRATIVA MEDIANTE LA RECOLECCIÓN, ANÁLISIS, CARGUE Y RENDICIÓN DE INFORMES CONTRACTUALES EN LAS DIFERENTES PLATAFORMAS DISPUESTAS POR LA ENTIDAD Y ENTES DE CONTROL, EN EL MARCO DEL PROYECTO "APOYO A LA GESTIÓN ADMINISTRATIVA Y PROCESOS TRANSVERSALES DE LA SECRETARIA DE DESARROLLO SOCIAL DEL MUNICIPIO DE BUCARAMANGA"</t>
  </si>
  <si>
    <t>SDS-SDS-CPS-270-2023</t>
  </si>
  <si>
    <t>PRESTAR SERVICIOS PROFESIONALES COMO ABOGADO (A) PARA APOYAR LA GESTIÓN JURÍDICA Y CONTRACTUAL DE LA SECRETARIA, EN EL MARCO DEL PROYECTO "APOYO A LA GESTIÓN ADMINISTRATIVA Y PROCESOS TRANSVERSALES DE LA SECRETARIA DE DESARROLLO SOCIAL DEL MUNICIPIO DE BUCARAMANGA"</t>
  </si>
  <si>
    <t>SDS-SDS-CPS-273-2023</t>
  </si>
  <si>
    <t>PRESTAR SERVICIO DE APOYO COMO CONDUCTOR A LOS DIFERENTES PROGRAMAS DE LA SECRETARIA DE DESARROLLO SOCIAL DEL MUNICIPIO DE BUCARAMANGA</t>
  </si>
  <si>
    <t>SDS-SDS-CPS-271-2023</t>
  </si>
  <si>
    <t>PRESTAR SERVICIOS PROFESIONALES COMO ABOGADO (A) PARA APOYAR LOS ASUNTOS LEGALES Y CONTRACTUALES EN EL MARCO DEL PROYECTO "APOYO A LA GESTIÓN ADMINISTRATIVA Y PROCESOS TRANSVERSALES DE LA SECRETARIA DE DESARROLLO SOCIAL DEL MUNICIPIO DE BUCARAMANGA"</t>
  </si>
  <si>
    <t>SDS-SDS-CPS-274-2023</t>
  </si>
  <si>
    <t>PRESTAR SERVICIOS PROFESIONALES PARA APOYAR LOS PROCESOS DE PLANEACION PRESUPUESTAL, CONTRACTUAL Y ADMINISTRATIVA, ASÍ COMO LA ELABORACIÓN DE INFORMES FINANCIEROS, DE GESTION Y SEGUIMIENTO A LAS METAS DE LOS PROGRAMAS SOCIALES DE CONFORMIDAD CON EL PLAN DE DESARROLLO MUNICIPAL, EN EL MARCO DEL PROYECTO "APOYO A LA GESTIÓN ADMINISTRATIVA Y PROCESOS TRANSVERSALES DE LA SECRETARIA DE DESARROLLO SOCIAL DEL MUNICIPIO DE BUCARAMANGA"</t>
  </si>
  <si>
    <t>SDS-SDS-CPS-279-2023</t>
  </si>
  <si>
    <t>PRESTAR SERVICIOS PROFESIONALES PARA APOYAR LA GESTIÓN PRESUPUESTAL COMO ADMINISTRADORA DE EMPRESAS EN EL MARCO DEL PROYECTO "APOYO A LA GESTIÓN ADMINISTRATIVA Y PROCESOS TRANSVERSALES DE LA SECRETARIA DE DESARROLLO SOCIAL DEL MUNICIPIO DE BUCARAMANGA"</t>
  </si>
  <si>
    <t>SDS-SDS-CPS-281-2023</t>
  </si>
  <si>
    <t>SDS-SDS-CPS-275-2023</t>
  </si>
  <si>
    <t>PRESTAR SERVICIOS DE APOYO EN LA GESTION ADMINISTRATIVA Y MANEJO DE LOS SISTEMAS INFORMÁTICOS EN EL MARCO DEL PROYECTO "APOYO A LA GESTIÓN ADMINISTRATIVA Y PROCESOS TRANSVERSALES DE LA SECRETARIA DE DESARROLLO SOCIAL DEL MUNICIPIO DE BUCARAMANGA"</t>
  </si>
  <si>
    <t>SDS-SDS-CPS-282-2023</t>
  </si>
  <si>
    <t>2.3.2.02.02.009.4599006.91114.501</t>
  </si>
  <si>
    <t>SDS-SDS-CPS-276-2023</t>
  </si>
  <si>
    <t>ESTUDIOS DE PREINVERSION 501</t>
  </si>
  <si>
    <t>SDS-SDS-CPS-269-2023</t>
  </si>
  <si>
    <t>PRESTAR SERVICIOS DE APOYO A LA GESTIÓN DE LOS PROCESOS ADMINISTRATIVOS EN EL MARCO DE LOS PROYECTOS "APOYO A LA GESTIÓN ADMINISTRATIVA Y PROCESOS TRANSVERSALES DE LA SECRETARIA DE DESARROLLO SOCIAL DEL MUNICIPIO DE BUCARAMANGA"</t>
  </si>
  <si>
    <t>SDS-SDS-CPS-283-2023</t>
  </si>
  <si>
    <t>PRESTAR SERVICIOS PROFESIONALES COMO ABOGADO (A) PARA APOYAR LA GESTIÓN JURIDICA Y CONTRACTUAL DE LA SECRETARIA, EN EL MARCO DEL PROYECTO "APOYO A LA GESTIÓN ADMINISTRATIVA Y PROCESOS TRANSVERSALES DE LA SECRETARIA DE DESARROLLO SOCIAL DEL MUNICIPIO DE BUCARAMANGA"</t>
  </si>
  <si>
    <t>SDS-SDS-CPS-288-2023</t>
  </si>
  <si>
    <t>PRESTAR SERVICIOS PROFESIONALES PARA APOYAR LA GESTIÓN ADMINISTRATIVA MEDIANTE LA FORMULACIÓN, ACTUALIZACIÓN Y SEGUIMIENTO A PROYECTOS DE INVERSIÓN, LA ELABORACIÓN DE ESTUDIOS DEL SECTOR Y LA EVALUACIÓN TÉCNICA-FINANCIERA, CONTRACTUAL EN EL MARCO DEL PROYECTO "APOYO A LA GESTIÓN ADMINISTRATIVA Y PROCESOS TRANSVERSALES DE LA SECRETARIA DE DESARROLLO SOCIAL DEL MUNICIPIO DE BUCARAMANGA"</t>
  </si>
  <si>
    <t>SDS-SDS-CPS-287-2023</t>
  </si>
  <si>
    <t>PRESTAR SERVICIOS PROFESIONALES COMO ABOGADO (A) ESPECIALIZADO (A) PARA APOYAR LA GESTIÓN JURÍDICA INTERNA Y EXTERNA EN EL MARCO DEL PROYECTO "APOYO A LA GESTIÓN ADMINISTRATIVA Y PROCESOS TRANSVERSALES DE LA SECRETARIA DE DESARROLLO SOCIAL DEL MUNICIPIO DE BUCARAMANGA"</t>
  </si>
  <si>
    <t>ANDREA JULIANA VECINO PINZON</t>
  </si>
  <si>
    <t>SDS-SDS-CPS-286-2023</t>
  </si>
  <si>
    <t>PRESTAR SERVICIOS COMO PROFESIONAL EN ECONOMÍA PARA EL ANÁLISIS, LA INTERPRETACIÓN DE DATOS; LA FORMULACIÓN Y SEGUIMIENTO DE PROYECTOS Y POLÍTICAS PÚBLICAS EN EL MARCO DEL PROYECTO "APOYO A LA GESTIÓN ADMINISTRATIVA Y PROCESOS TRANSVERSALES DE LA SECRETARIA DE DESARROLLO SOCIAL DEL MUNICIPIO DE BUCARAMANGA"</t>
  </si>
  <si>
    <t>SDS-SDS-CPS-284-2023</t>
  </si>
  <si>
    <t>PRESTAR SERVICIOS PROFESIONALES COMO PROFESIONAL ESPECIALIZADO, PARA EL APOYO EN PROCESOS DE FORMULACIÓN, IMPLEMENTACIÓN Y SEGUIMIENTO DE LAS POLÍTICAS PÚBLICAS DE LA SECRETARÍA DE DESARROLLO SOCIAL, EN EL MARCO DEL PROYECTO DE "APOYO A LA GESTIÓN ADMINISTRATIVA Y PROCESOS TRANSVERSALES DE LA SECRETARIA DE DESARROLLO SOCIAL DEL MUNICIPIO DE BUCARAMANGA"</t>
  </si>
  <si>
    <t>SDS-SDS-CPS-285-2023</t>
  </si>
  <si>
    <t>SDS-SDS-CPS-292-2023</t>
  </si>
  <si>
    <t>SDS-SDS-CPS-291-2023</t>
  </si>
  <si>
    <t>PRESTAR SERVICIOS PROFESIONALES COMO APOYO A LA COORDINACIÓN DEL COMPONENTE DE BIENESTAR SOCIAL Y LA ESTRATEGIA DE COOPERACIÓN INTERNACIONAL Y AYUDA HUMANITARIA EN EL MARCO DEL PROYECTO DE "APOYO A LA GESTIÓN ADMINISTRATIVA Y PROCESOS TRANSVERSALES DE LA SECRETARIA DE DESARROLLO SOCIAL DEL MUNICIPIO DE BUCARAMANGA"</t>
  </si>
  <si>
    <t>SDS-SDS-CPS-290-2023</t>
  </si>
  <si>
    <t>PRESTAR SERVICIOS PROFESIONALES PARA APOYAR LOS PROCESOS PRESUPUESTALES Y ADMINISTRATIVOS, ASÍ COMO LA ELABORACIÓN DE INFORMES FINANCIEROS Y DE GESTION DE LA SECRETARIA DE DESARROLLO SOCIAL, EN EL MARCO DEL PROYECTO "APOYO A LA GESTIÓN ADMINISTRATIVA Y PROCESOS TRANSVERSALES DE LA SECRETARIA DE DESARROLLO SOCIAL DEL MUNICIPIO DE BUCARAMANGA"</t>
  </si>
  <si>
    <t>SDS-SDS-CPS-289-2023</t>
  </si>
  <si>
    <t>PRESTAR SERVICIOS PROFESIONALES PARA APOYAR LAS ACTIVIDADES RELACIONADAS CON EL SISTEMA DE INFORMACIÓN SIFA EN EL COMPONENTE DE SALUD DEL PROGRAMA MAS FAMILIA EN ACCIÓN.</t>
  </si>
  <si>
    <t>SDS-SDS-CPS-295-2023</t>
  </si>
  <si>
    <t>PRESTAR SERVICIOS PROFESIONALES EN CIENCIAS HUMANAS PARA APOYAR LA GESTIÓN E IMPLEMENTACIÓN TERRITORIAL DE ACTIVIDADES, ESTRATEGIAS, PROGRAMAS E INTERACCIÓN CON POBLACIÓN VULNERABLE EN ESPECIAL INDÍGENA Y AFRO EN EL MARCO DEL PROYECTO "APOYO A LA GESTIÓN ADMINISTRATIVA Y PROCESOS TRANSVERSALES DE LA SECRETARIA DE DESARROLLO SOCIAL DEL MUNICIPIO DE BUCARAMANGA"</t>
  </si>
  <si>
    <t>SDS-SDS-CPS-297-2023</t>
  </si>
  <si>
    <t>PRESTAR SERVICIOS PROFESIONALES COMO ABOGADO (A) ESPECIALIZADO (A) PARA APOYAR LA COORDINACIÓN DE LA GESTIÓN JURÍDICA Y CONTRACTUAL EN EL MARCO DEL PROYECTO "APOYO A LA GESTIÓN ADMINISTRATIVA Y PROCESOS TRANSVERSALES DE LA SECRETARIA DE DESARROLLO SOCIAL DEL MUNICIPIO DE BUCARAMANGA"</t>
  </si>
  <si>
    <t>SDS-SDS-CPS-294-2023</t>
  </si>
  <si>
    <t>PRESTAR SERVICIOS PROFESIONALES COMO ABOGADO (A) ESPECIALIZADO (A) PARA APOYAR LA GESTIÓN JURÍDICA, CONTRACTUAL Y ADMINISTRATIVA EN EL MARCO DEL PROYECTO "APOYO A LA GESTIÓN ADMINISTRATIVA Y PROCESOS TRANSVERSALES DE LA SECRETARIA DE DESARROLLO SOCIAL DEL MUNICIPIO DE BUCARAMANGA"</t>
  </si>
  <si>
    <t>SDS-SDS-CPS-296-2023</t>
  </si>
  <si>
    <t>PRESTAR SERVICIOS DE APOYO EN LOS DISTINTOS PROCESOS DE GESTION ADMINISTRATIVA EN EL MARCO DE LOS PROYECTOS "APOYO A LA GESTIÓN ADMINISTRATIVA Y PROCESOS TRANSVERSALES DE LA SECRETARIA DE DESARROLLO SOCIAL DEL MUNICIPIO DE BUCARAMANGA"</t>
  </si>
  <si>
    <t>SDS-SDS-CPS-298-2023</t>
  </si>
  <si>
    <t>PRESTAR SERVICIOS PROFESIONALES COMO COMUNICADORA EN EL DESARROLLO DE LAS ACTIVIDADES DE LOS PROGRAMAS DE LA SECRETARIA DE DESARROLLO SOCIAL EN EL MARCO DEL PROYECTO "APOYO A LA GESTIÓN ADMINISTRATIVA Y PROCESOS TRANSVERSALES DE LA SECRETARIA DE DESARROLLO SOCIAL DEL MUNICIPIO DE BUCARAMANGA"</t>
  </si>
  <si>
    <t>SDS-SDS-CPS-293-2023</t>
  </si>
  <si>
    <t>PRESTAR SERVICIOS PROFESIONALES PARA BRINDAR APOYO JURÍDICO EN LA INMERSIÓN Y MATERIALIZACIÓN DE LA ESTRATEGIA DE PARTICIPACIÓN DEMOCRÁTICA ENTRE LA POBLACIÓN JOVEN DEL MUNICIPIO DE BUCARAMANGA.</t>
  </si>
  <si>
    <t>SDS-SDS-CPS-300-2023</t>
  </si>
  <si>
    <t>ADQUISICIÓN DE MATERIAL VEGETAL PARA BENEFICIAR A PEQUEÑOS PRODUCTORES DEL SECTOR RURAL DEL MUNICIPIO DE BUCARAMANGA PARA EL FORTALECIMIENTO DE LAS UNIDADES PRODUCTIVAS</t>
  </si>
  <si>
    <t>2.3.2.02.01.000.1702021.136001.201</t>
  </si>
  <si>
    <t>SDS-SDS-SASI-007-2023-2</t>
  </si>
  <si>
    <t>SERVICIO DE ACOMPAÑAMIENTO PRODUCTIVO Y EMPRESARIAL 201</t>
  </si>
  <si>
    <t xml:space="preserve">ADQUISICIÓN DE ELEMENTOS DE GESTIÓN DE LA HIGIENE MENSTRUAL PARA MUJERES, NIÑAS Y POBLACIÓN MENSTRUANTE EN ALTO GRADO DE VULNERABILIDAD SOCIAL Y ECONÓMICA DEL MUNICIPIO DE BUCARAMANGA
</t>
  </si>
  <si>
    <t>2.3.2.02.01.003.4502038.3627096.201</t>
  </si>
  <si>
    <t>SDS-SDS-MC-007-2023</t>
  </si>
  <si>
    <t>BRINDAR ESPACIOS PARA EL DESARROLLO DEL PRISMA PRIDE FESTIVAL ACTIVIDADES DE CIUDAD ENMARCADAS EN EL MES DEL ORGULLO LGBTIQ PARA PROMOVER EL BIENESTAR SOCIAL Y EL DISFRUTE ARTE Y CULTURA DE LA POBLACIÓN JOVEN Y SEXUALMENTE DIVERSA DE BUCARAMANGA.</t>
  </si>
  <si>
    <t>CENTRO DE FERIAS EXPOSICIONES Y CONVENCIONES DE BUCARAMANGA S A CENFER S A</t>
  </si>
  <si>
    <t>2.3.2.02.02.009.4502001.96290.501</t>
  </si>
  <si>
    <t>SDS-SDS-CI-004-2023-1</t>
  </si>
  <si>
    <t>SERVICIO DE PROMOCION A LA PARTICIPACION CIUDADANA 501</t>
  </si>
  <si>
    <t>800151720</t>
  </si>
  <si>
    <t>2.3.2.02.02.009.4502038.96290.501</t>
  </si>
  <si>
    <t>SERVICIO DE PROMOCION DE LA GARANTIA DE DERECHOS 501</t>
  </si>
  <si>
    <t>2.3.2.02.02.009.4103050.91114.501</t>
  </si>
  <si>
    <t>SDS-SDS-CPS-305-2023</t>
  </si>
  <si>
    <t>SERVICIO DE ACOMPAÑAMIENTO FAMILIAR Y COMUNITARIO PARA LA SUPERACION DE LA POBREZA 501</t>
  </si>
  <si>
    <t>PRESTAR SERVICIOS PROFESIONALES EN TRABAJO SOCIAL ORIENTADOS AL ACOMPAÑAMIENTO PSICOSOCIAL DE LA POBLACIÓN SEXUALMENTE DIVERSA, DESDE ACCIONES PARA EL RECONOCIMIENTO, EL RESPETO E INCLUSIÓN SOCIAL EN EL MUNICIPIO DE BUCARAMANGA.</t>
  </si>
  <si>
    <t>SDS-SDS-CPS-303-2023</t>
  </si>
  <si>
    <t>ADQUISICIÓN DE ELEMENTOS DE PAPELERÍA Y LITOGRAFÍA PARA EL DESARROLLO DE LAS ESTRATEGIAS ENMARCADAS EN LOS DISTINTOS PROGRAMAS DE LA SECRETARÍA DE DESARROLLO SOCIAL DEL MUNICIPIO DE BUCARAMANGA.</t>
  </si>
  <si>
    <t>2.3.2.02.01.003.4102038.3899998.201</t>
  </si>
  <si>
    <t>SDS-SDS-SASI-005-2023</t>
  </si>
  <si>
    <t>2.3.2.02.01.003.4104020.3899998.201</t>
  </si>
  <si>
    <t>2.3.2.02.01.003.4502001.3899998.201</t>
  </si>
  <si>
    <t>SERVICIO DE PROMOCION A LA PARTICIPACION CIUDADANA</t>
  </si>
  <si>
    <t>2.3.2.02.01.003.4502038.3899998.201</t>
  </si>
  <si>
    <t>SDS-SDS-CPS-307-2023</t>
  </si>
  <si>
    <t>SDS-SDS-CPS-302-2023</t>
  </si>
  <si>
    <t>SDS-SDS-CPS-299-2023</t>
  </si>
  <si>
    <t>ADQUISICIÓN DE MOBILIARIO PARA EL DESARROLLO DE LAS FERIAS INSTITUCIONALES EN EL MARCO DE LAS ACTIVIDADES MISIONALES DE LA SECRETARÍA DE DESARROLLO SOCIAL DEL MUNICIPIO DE BUCARAMANGA.</t>
  </si>
  <si>
    <t>DOMINGO LOPEZ MORANTES</t>
  </si>
  <si>
    <t>2.3.2.01.01.004.01.01.4103052.3811901.201</t>
  </si>
  <si>
    <t>SDS-SDS-MC-008-2023</t>
  </si>
  <si>
    <t>5565483</t>
  </si>
  <si>
    <t>2.3.2.01.01.004.01.01.4103052.3814055.201</t>
  </si>
  <si>
    <t>PRESTAR SERVICIOS DE APOYO A LA GESTIÓN AL INTERIOR DE LOS PROGRAMAS BUCARAMANGA, HÁBITAT PARA EL CUIDADO Y LA CORRESPONSABILIDAD Y MÁS EQUIDAD PARA LAS MUJERES ACOMPAÑANDO LAS ESTRATEGIAS ORIENTADAS AL BIENESTAR DE LA POBLACIÓN SEXUALMENTE DIVERSA DE BUCARAMANGA.</t>
  </si>
  <si>
    <t>2.3.2.02.02.009.4502038.91114.501</t>
  </si>
  <si>
    <t>SDS-SDS-CPS-308-2023</t>
  </si>
  <si>
    <t>SERVICIO DE PROMOCION DE LA GARANTA DE DERECHOS 501</t>
  </si>
  <si>
    <t>PRESTAR SERVICIOS PROFESIONALES EN TRABAJO SOCIAL ORIENTADOS LA IMPLEMENTACIÓN DE LAS POLÍTICAS PUBLICAS DE MUJER Y POBLACIÓN CON ORIENTACIONES SEXUALES DIVERSAS, LA PARTICIPACIÓN SOCIAL, COMUNITARIA Y POLÍTICA EN EL MUNICIPIO DE BUCARAMANGA.</t>
  </si>
  <si>
    <t>SDS-SDS-CPS-306-2023</t>
  </si>
  <si>
    <t>SDS-SDS-CPS-301-2023</t>
  </si>
  <si>
    <t>SDS-SDS-CPS-304-2023</t>
  </si>
  <si>
    <t>SDS-SDS-CPS-310-2023</t>
  </si>
  <si>
    <t>SDS-SDS-CPS-309-2023</t>
  </si>
  <si>
    <t>SDS-SDS-CPS-316-2023</t>
  </si>
  <si>
    <t>2.3.2.02.02.009.4103052.91119.501</t>
  </si>
  <si>
    <t>SDS-SDS-CPS-311-2023</t>
  </si>
  <si>
    <t>SERVICIO DE GESTION DE OFERTA SOCIAL PARA LA POBLACION VULNERABLE 501</t>
  </si>
  <si>
    <t>PRESTAR SERVICIOS PROFESIONALES COMO PSICÓLOGO EN EL DESARROLLO DE ACTIVIDADES PARA LA PROMOCIÓN DE LA SALUD MENTAL DE LAS PERSONAS MAYORES EN CONDICIÓN DE VULNERABILIDAD ADSCRITAS A LOS CENTROS VIDA DEL MUNICIPIO DE BUCARAMANGA.</t>
  </si>
  <si>
    <t>SDS-SDS-CPS-319-2023</t>
  </si>
  <si>
    <t>SDS-SDS-CPS-320-2023</t>
  </si>
  <si>
    <t>PRESTAR SERVICIOS PROFESIONALES PARA APOYAR EL DESARROLLO DE LA ESTRATEGIA DE PARTICIPACIÓN DEMOCRÁTICA Y EL FORTALECIMIENTO DE LOS LIDERAZGO JUVENILES PARA EL DESARROLLO INTEGRAL Y EL EMPRENDIMIENTO.</t>
  </si>
  <si>
    <t>2.3.2.02.02.009.4502001.91114.501</t>
  </si>
  <si>
    <t>SDS-SDS-CPS-313-2023</t>
  </si>
  <si>
    <t>PROMOVER EL FORTALECIMIENTO DE LOS HÁBITOS DE LA VIDA DIARIA Y DESARROLLO HUMANO EN PERSONAS CON DISCAPACIDAD Y SU RED PRIMARIA DE APOYO DEL MUNICIPIO DE BUCARAMANGA CON EL FIN DE CONTRIBUIR AL MEJORAMIENTO DE SU CALIDAD DE VIDA</t>
  </si>
  <si>
    <t>FUNDACIÓN SERVIR &amp; RENACER</t>
  </si>
  <si>
    <t>SDS-SDS-CA-020-2023</t>
  </si>
  <si>
    <t>901408433</t>
  </si>
  <si>
    <t>SDS-SDS-CPS-312-2023</t>
  </si>
  <si>
    <t>PRESTAR SERVICIOS PROFESIONALES APOYANDO EL DESARROLLO DE ACTIVIDADES EN ATENCION PRIMARIA EN SALUD DE FORMA INTRA Y EXTRAMURAL DIRIGIDAS A LAS PERSONAS MAYORES EN VULNERABILIDAD Y/O ADSCRITAS A LOS CENTROS VIDA DEL MUNICIPIO.</t>
  </si>
  <si>
    <t>SDS-SDS-CPS-314-2023-1</t>
  </si>
  <si>
    <t>PRESTAR SERVICIOS PROFESIONALES PARA APOYAR LA COORDINACIÓN Y DESARROLLO DE LA ESTRATEGIA DE PARTICIPACIÓN DEMOCRÁTICA Y EL FORTALECIMIENTO DE LOS LIDERAZGO JUVENILES PARA EL DESARROLLO INTEGRAL Y EL EMPRENDIMIENTO</t>
  </si>
  <si>
    <t>SDS-SDS-CPS-315-2023</t>
  </si>
  <si>
    <t>PRESTAR SERVICIOS DE APOYO COMO TÉCNICO DE SISTEMAS EN LA ELABORACIÓN DE LAS BASES DE DATOS DE LOS PROGRAMAS SOCIALES DE LA SECRETARIA DE DESARROLLO SOCIAL DEL MUNICIPIO DE BUCARAMANGA.</t>
  </si>
  <si>
    <t>SDS-SDS-CPS-317-2023</t>
  </si>
  <si>
    <t>PRESTAR SERVICIOS PROFESIONALES Y DE APOYO A LA COORDINACIÓN PARA BRINDAR ATENCIÓN PSICOSOCIAL EN LA INMERSIÓN Y MATERIALIZACIÓN DE LA ESTRATEGIA DE PARTICIPACIÓN CIUDADANA EN EL MUNICIPIO DE BUCARAMANGA.</t>
  </si>
  <si>
    <t>SDS-SDS-CPS-323-2023</t>
  </si>
  <si>
    <t>PRESTAR SERVICIOS DE APOYO A LA GESTIÓN PARA LA COORDINACIÓN, GESTION E IMPLEMENTACION DE LAS ACTIVIDADES INTEGRALES DEL CENTRO VIDA ÁLVAREZ, ADSCRITO AL MUNICIPIO DE BUCARAMANGA</t>
  </si>
  <si>
    <t>SDS-SDS-CPS-324-2023</t>
  </si>
  <si>
    <t>PRESTAR SERVICIOS PROFESIONALES COMO PSICÓLOGA AL INTERIOR DE LOS PROGRAMAS MAS EQUIDAD PARA LAS MUJERES Y BUCARAMANGA HÁBITAT PARA EL CUIDADO Y LA CORRESPONSABILIDAD APOYANDO LA COORDINACIÓN GENERAL DEL CENTRO INTEGRAL DE LA MUJER DEL MUNICIPIO DE BUCARAMANGA.</t>
  </si>
  <si>
    <t>SDS-SDS-CPS-321-2023</t>
  </si>
  <si>
    <t>SDS-SDS-CPS-318-2023</t>
  </si>
  <si>
    <t>PAGO DE SERVICIO DE GAS NATURAL -CASA BÚHO SEGUN FACTURA NO F 18I10859976 PERIODO COMPRENDIDO ABRIL 14 DEL 2023 HASTA MAYO 16 DEL 2023</t>
  </si>
  <si>
    <t>PAGO DE SERVICIO DE INTERNET DE LAS ÁGORAS (CAFÉ MADRID ,SAN CRISTOBAL,ESPERANZA,CENTRO,FERIA,MONTERREDOND,MIRAMAR,NUEVA COLOMBIA,REGADERO,CORDONCILLO)PERIODO: PERIODO: MAYO 18 DEL 2023 HASTA JUNIO 18 DEL 2023 FACTURA NO BCPT 15683207</t>
  </si>
  <si>
    <t>PAGO DE SERVICIO DE INTERNET AGORA PROVENZA PERIODO: (JUNIO 01 HASTA JUNIO 30 DEL 2023 DEL 2023)SEGÚN REFERENCIA DE PAGO 9515011000-46 CONTRATO DE SERVICIO NO 19166503</t>
  </si>
  <si>
    <t>PAGO DE SERVICIO PUBLICO DE GAS NATURAL DE LOS CENTROS VIDA AÑOS MARAVILLOSOS FACTURA NO F18I10860108 PERIODO COMPRENDIDO DE ABRIL 14-2023 HASTA MAYO 17 DEL 2023 , CENTRO VIDA ALVAREZ FACTURA NO F18I10860108 PERIODO COMPRENDIDO DE ABRIL 14-2023 HASTA MAYO 17 DEL 2023 Y CENTRO VIDA KENNEDY F18I10860031 PERIODO COMPRENDIDO DE ABRIL 15-2023 HASTA MAYO 15 DEL 2023</t>
  </si>
  <si>
    <t>PAGO DE SERVICIO DE TELEFONÍA FIJA E INTERNET DEL CENTRO VIDA KENNEDDY POR EL PERIODO COMPRENDIDO DE MAYO 01 HASTA MAYO 31 DEL 2023 SEGÚN FACTURA NO TBCL-22721657</t>
  </si>
  <si>
    <t xml:space="preserve">PRESTAR SERVICIOS PROFESIONALES EN PSICOLOGÍA PARA APOYAR LA IMPLEMENTACION DE LOS PROCESOS DEL PROYECTO CASA BÚHO DEL MUNICIPIO DE BUCARAMANGA.
</t>
  </si>
  <si>
    <t>2.3.2.02.02.009.4102001.91119.501</t>
  </si>
  <si>
    <t>SDS-SDS-CPS-327-2023-1</t>
  </si>
  <si>
    <t>SERVICIO DE ATENCION INTEGRAL A LA PRIMERA INFANCIA 501</t>
  </si>
  <si>
    <t>SDS-SDS-CPS-326-2023</t>
  </si>
  <si>
    <t>PRESTAR SERVICIOS PROFESIONALES EN TRABAJO SOCIAL ORIENTADOS AL ACOMPAÑAMIENTO PSICOSOCIAL DE MUJERES Y PERSONAS SEXUALMENTE DIVERSAS, ASÍ COMO EL DESARROLLO DE PROCESOS DE INTERVENCIÓN COMUNITARIA Y ESTRATEGIAS DE PREVENCIÓN DENTRO DE LOS PROGRAMAS MAS EQUIDAD PARA LAS MUJERES Y BUCARAMANGA HÁBITAT PARA EL CUIDADO Y LA CORRESPONSABILIDAD, ADSCRITO A LA SECRETARIA DE DESARROLLO SOCIAL DEL MUNICIPIO DE BUCARAMANGA.</t>
  </si>
  <si>
    <t>PRESTAR SERVICIOS PROFESIONALES DE APOYO A LA COORDINACIÓN DE LOS PROGRAMAS MÁS EQUIDAD PARA LAS MUJERES Y BUCARAMANGA HÁBITAT PARA EL CUIDADO Y LA CORRESPONSABILIDAD DE LA SECRETARÍA DE DESARROLLO SOCIAL EN EL MUNICIPIO DE BUCARAMANGA DESDE EL COMPONENTE TÉCNICO Y SOCIAL</t>
  </si>
  <si>
    <t>SDS-SDS-CPS-334-2023</t>
  </si>
  <si>
    <t>SDS-SDS-CPS-336-2023</t>
  </si>
  <si>
    <t>SDS-SDS-CPS-333-2023</t>
  </si>
  <si>
    <t xml:space="preserve">PRESTAR SERVICIOS PROFESIONALES COMO ABOGADA PARA LA IMPLEMENTACIÓN DE LA POLÍTICA PÚBLICA PARA LAS PERSONAS CON ORIENTACIONES SEXUALES E IDENTIDADES DE GÉNERO DIVERSAS Y LAS ACCIONES DE ATENCIÓN JURÍDICA, PREVENCIÓN DE VIOLENCIAS Y SENSIBILIZACIÓN EN DIVERSIDAD SEXUAL DENTRO DEL PROGRAMA BUCARAMANGA, HÁBITAT PARA EL CUIDADO Y LA CORRESPONSABILIDAD.
</t>
  </si>
  <si>
    <t>SDS-SDS-CPS-325-2023</t>
  </si>
  <si>
    <t>SDS-SDS-CPS-332-2023</t>
  </si>
  <si>
    <t>SDS-SDS-CPS-331-2023</t>
  </si>
  <si>
    <t>PRESTAR SERVICIOS PROFESIONALES EN LA ATENCIÓN DE LA POBLACIÓN DE PRIMERA INFANCIA E INFANCIA EN CASA BÚHO DE LA SECRETARIA DE DESARROLLO SOCIAL DEL MUNICIPIO DE BUCARAMANGA.</t>
  </si>
  <si>
    <t>SDS-SDS-CPS-340-2023</t>
  </si>
  <si>
    <t>PRESTAR SERVICIOS DE APOYO A LA GESTIÓN PARA APOYAR LA OPERATIVIDAD ADMINISTRATIVA DEL PROGRAMA “COLOMBIA MAYOR” Y EL PROGRAMA ADULTO MAYOR Y DIGNO ADSCRITO A LA SECRETARÍA DE DESARROLLO SOCIAL.</t>
  </si>
  <si>
    <t>SDS-SDS-CPS-330-2023</t>
  </si>
  <si>
    <t>SDS-SDS-CPS-329-2023</t>
  </si>
  <si>
    <t>SDS-SDS-CPS-328-2023</t>
  </si>
  <si>
    <t>SDS-SDS-CPS-346-2023</t>
  </si>
  <si>
    <t>SDS-SDS-CPS-335-2023</t>
  </si>
  <si>
    <t xml:space="preserve">PRESTAR SERVICIOS PROFESIONALES COMO EDUCADOR/A DE NIÑOS Y NIÑAS DEL PRIMERA INFANCIA E INFANCIA BENEFICIARIOS DE CASA BÚHO, ESPACIO DE CUIDADO ADSCRITO A LA SECRETARÍA DE DESARROLLO SOCIAL DEL MUNICIPIO DE BUCARAMANGA
</t>
  </si>
  <si>
    <t>SDS-SDS-CPS-348-2023</t>
  </si>
  <si>
    <t>2.3.2.02.02.009.4104008.93491.501</t>
  </si>
  <si>
    <t>SDS-SDS-CPS-350-2023</t>
  </si>
  <si>
    <t>SERVICIO DE ATENCION Y PROTECCION INTEGRAL AL ADULTO MAYOR 501</t>
  </si>
  <si>
    <t>SDS-SDS-CPS-337-2023</t>
  </si>
  <si>
    <t>SDS-SDS-CPS-339-2023</t>
  </si>
  <si>
    <t>PRESTAR SERVICIOS DE APOYO A LA GESTIÓN EN CASA BÚHO ESPACIO DE CUIDADO ADSCRITO A LA SECRETARÍA DE DESARROLLO SOCIAL DEL MUNICIPIO DE BUCARAMANGA.</t>
  </si>
  <si>
    <t>SDS-SDS-CPS-344-2023</t>
  </si>
  <si>
    <t>SDS-SDS-CPS-345-2023</t>
  </si>
  <si>
    <t>PRESTAR SERVICIOS PROFESIONALES COMO EDUCADOR/A DE NIÑOS Y NIÑAS DEL PRIMERA INFANCIA E INFANCIA BENEFICIARIOS DE CASA BÚHO, ESPACIO DE CUIDADO ADSCRITO A LA SECRETARÍA DE DESARROLLO SOCIAL DE BUCARAMANGA</t>
  </si>
  <si>
    <t>SDS-SDS-CPS-341-2023</t>
  </si>
  <si>
    <t>SDS-SDS-CPS-342-2023</t>
  </si>
  <si>
    <t>SDS-SDS-CPS-349-2023</t>
  </si>
  <si>
    <t>PRESTAR SERVICIOS PROFESIONALES PARA APOYAR EL DESARROLLO DE LA ESTRATEGIA DE PARTICIPACIÓN DEMOCRÁTICA Y EL FORTALECIMIENTO DE LOS LIDERAZGOS JUVENILES PARA EL DESARROLLO INTEGRAL.</t>
  </si>
  <si>
    <t>SDS-SDS-CPS-357-2023</t>
  </si>
  <si>
    <t>PRESTAR SERVICIOS PROFESIONALES PARA APOYAR LAS DIVERSAS ACTIVIDADES DEL PROGRAMA FAMILIAS EN ACCIÓN ESPECIALMENTE LAS RELACIONADAS CON EL COMPONENTE DE BIENESTAR COMUNITARIO Y LOS PROCESOS DE VERIFICACIÓN EN EDUCACIÓN.</t>
  </si>
  <si>
    <t>SDS-SDS-CPS-353-2023</t>
  </si>
  <si>
    <t xml:space="preserve">PRESTAR SERVICIOS PROFESIONALES COMO DISEÑADOR(A) GRÁFICO Y REALIZADOR AUDIOVISUAL PARA EL FORTALECIMIENTO DE LA COMUNICACIÓN INTERNA Y EXTERNA DE LOS DIFERENTES PROGRAMAS DE LA SECRETARIA DE DESARROLLO SOCIAL DEL MUNICIPIO DEL BUCARAMANGA.
</t>
  </si>
  <si>
    <t>SDS-SDS-CPS-356-2023</t>
  </si>
  <si>
    <t>SDS-SDS-CPS-351-2023</t>
  </si>
  <si>
    <t>PRESTAR SERVICIOS PROFESIONALES PARA EL DESARROLLO DE ACTIVIDADES ARTÍSTICAS EN LAS PERSONAS MAYORES EN CONDICIÓN DE VULNERABILIDAD Y/O ADSCRITAS EN LOS CENTROS VIDA DEL MUNICIPIO DE BUCARAMANGA.</t>
  </si>
  <si>
    <t>SDS-SDS-CPS-355-2023</t>
  </si>
  <si>
    <t>SDS-SDS-CPS-352-2023</t>
  </si>
  <si>
    <t>BRINDAR ACCESO GRATUITO A ESPACIOS RECREATIVOS BASADO EN ARTE ESCÉNICAS Y REPRESENTACIONES ARTÍSTICAS PARA LOS BENEFICIARIOS DE LOS DIFERENTES PROGRAMAS DE LA SECRETARÍA DE DESARROLLO SOCIAL DEL MUNICIPIO DE BUCARAMANGA</t>
  </si>
  <si>
    <t>FUNDACION TEATRO SANTANDER</t>
  </si>
  <si>
    <t>2.3.2.02.02.009.4102038.91114.501</t>
  </si>
  <si>
    <t>SDS-SDS-CI-006-2023</t>
  </si>
  <si>
    <t>SERVICIO DE PROMOCION DE TEMAS DE DINAMICA RELACIONAL Y DESARROLLO 501</t>
  </si>
  <si>
    <t>900299019</t>
  </si>
  <si>
    <t>2.3.2.02.02.009.4104008.91114.501</t>
  </si>
  <si>
    <t>SERVICIOS DE PLANIFICACIN ECONMICA, SOCIAL Y ESTADSTICA DE LA ADMINISTRACIN PUBLICA SERVICIO DE ATENCION Y PROTECCION INTEGRAL AL ADULTO MAYOR 501</t>
  </si>
  <si>
    <t>SDS-SDS-CPS-338-2023</t>
  </si>
  <si>
    <t>BLANCA ISABEL PINTO GOMEZ</t>
  </si>
  <si>
    <t>SDS-SDS-CPS-354-2023</t>
  </si>
  <si>
    <t xml:space="preserve">PRESTAR SERVICIOS PROFESIONALES APOYANDO EL DESARROLLO DE ACTIVIDADES EN TERAPIA OCUPACIONAL PARA LAS PERSONAS MAYORES EN CONDICIÓN DE VULNERABILIDAD Y/O ADSCRITAS A LOS CENTROS VIDA DEL MUNICIPIO.
</t>
  </si>
  <si>
    <t>SDS-SDS-CPS-362-2023</t>
  </si>
  <si>
    <t>SDS-SDS-CPS-361-2023</t>
  </si>
  <si>
    <t>PRESTAR SERVICIOS PROFESIONALES EN EL APOYO OPERATIVO Y DE ASISTENCIA ADMINISTRATIVA ENCAMINADAS A FACILITAR EL DESARROLLO Y EJECUCIÓN DE LAS ACTIVIDADES DEL PROGRAMA ADULTO MAYOR Y DIGNO, ADSCRITO A LA SECRETARÍA DE DESARROLLO SOCIAL</t>
  </si>
  <si>
    <t>SDS-SDS-CPS-358-2023</t>
  </si>
  <si>
    <t>PRESTAR SERVICIOS COMO PROFESIONAL APOYANDO LA IMPLEMENTACIÓN DE ACTIVIDADES FÍSICAS Y RECREATIVAS PARA LA PROMOCIÓN DE LOS DERECHOS DE LAS PERSONAS MAYORES EN VULNERABILIDAD Y/O ADSCRITAS A LOS SERVICIOS DEL CENTRO VIDA DEL MUNICIPIO.</t>
  </si>
  <si>
    <t>SDS-SDS-CPS-360-2023</t>
  </si>
  <si>
    <t xml:space="preserve">PRESTAR SERVICIOS PROFESIONALES COMO ABOGADA PARA EL FORTALECIMIENTO DE LAS ACCIONES ATENCIÓN JURÍDICA Y PREVENCIÓN DENTRO DE LOS PROGRAMAS MAS EQUIDAD PARA LAS MUJERES Y BUCARAMANGA HÁBITAT PARA EL CIUDADO Y LA CORRESPONSABILIDAD PARA LA ATENCIÓN DE LA POBLACIÓN SEXUALMENTE DIVERSA DESDE LA SECRETARIA DE DESARROLLO SOCIAL DEL MUNICIPIO DE BUCARAMANGA.
</t>
  </si>
  <si>
    <t>SDS-SDS-CPS-322-2023</t>
  </si>
  <si>
    <t>SDS-SDS-CPS-364-2023</t>
  </si>
  <si>
    <t xml:space="preserve">PRESTAR SERVICIOS PROFESIONALES PARA BRINDAR APOYO PSICOSOCIAL EN LA INMERSIÓN Y MATERIALIZACIÓN DE LA ESTRATEGIA DE PARTICIPACIÓN CIUDADANA EN EL MUNICIPIO DE BUCARAMANGA.
</t>
  </si>
  <si>
    <t>SDS-SDS-CPS-359-2023</t>
  </si>
  <si>
    <t xml:space="preserve">PAGO DE SERVICIO DE ACUEDUCTO ALCANTARILLADO Y ASEO DE CASA BÚHO, POR EL PERIODO DE ABRIL 01 AL 3 DEL 2023 SEGUN FACTURA DE SERVICIO NO 0067681
</t>
  </si>
  <si>
    <t>PAGO DE SERVICIO DE ACUEDUCTO,ALCANTARILLADO Y ASEO DE LAS ÁGORAS BUCARAMANGA , SAN MIGUEL, NORTE BAJO LA FERIA POR EL PERIODO DE ABRIL 01 HASTA ABRIL 30 DEL 2023 SEGÚN FACTURAS DE SERVICIOS NO 0108785-0097273-0125307-0175123</t>
  </si>
  <si>
    <t xml:space="preserve">PAGO DE SERVICIO DE ACUEDUCTO, ALCANTARILLADO Y ASEO POR EL PERIODO DE ABRIL 01 HASTA ABRIL 30 DEL 2023 DE LOS CENTROS VIDA KENNEDY-ALVAREZ
Y AÑOS MARAVILLOSOS,SEGÚN FACTURAS DE SERVICIO NO 0137822-0090146-0099121
</t>
  </si>
  <si>
    <t>PAGO DE RIESGOS PROFESIONALES A 118 EDILES DEL MUNICIPIO DE BUCARAMANGA POR EL PERIODO DE JUNIO 01 AL 30 DEL 2023</t>
  </si>
  <si>
    <t>2.3.2.02.02.009.4502001.91310.501</t>
  </si>
  <si>
    <t>PAGO DE SEGURIDAD SOCIAL A 118 EDILES DEL MUNICIPIO DE BUCARAMANGA POR EL PERIODO DE JUNIO 01 AL 30 DEL 2023</t>
  </si>
  <si>
    <t>SDS-SDS-CPS-367-2023</t>
  </si>
  <si>
    <t xml:space="preserve">PRESTAR SERVICIOS PROFESIONALES EN TRABAJO SOCIAL PARA LA IMPLEMENTACIÓN DE ACCIONES ORIENTADAS A LA PROMOCION DE ENTORNOS PROTECTORES DE NIÑOS, NIÑAS Y ADOLESCENTES, EL FORTALECIMIENTO DE VÍNCULOS FAMILIARES ENTRE PADRES/MADRES E HIJOS Y EL AFIANZAMIENTO DE LA IDENTIDAD DE NIÑOS/AS Y ADOLESCENTES DESDE UNA PERSPECTIVA DE GÉNERO EN EL MARCO DE LOS PROGRAMAS PRIMERA INFANCIA, EL CENTRO DE LA SOCIEDAD; CRECE CONMIGO: UNA INFANCIA FELIZ Y CONSTRUCCIÓN DE ENTORNOS PARA UNA ADOLESCENCIA SANA EN LA SECRETARIA DE DESARROLLO SOCIAL DEL MUNICIPIO DE BUCARAMANGA.
</t>
  </si>
  <si>
    <t>2.3.2.02.02.009.4102043.91114.201</t>
  </si>
  <si>
    <t>SDS-SDS-CPS-366-2023</t>
  </si>
  <si>
    <t>SERVICIO DE PROMOCION DE TEMAS DE DINAMICA RELACIONAL Y DESARROLLO 201</t>
  </si>
  <si>
    <t xml:space="preserve">PRESTAR SERVICIOS PROFESIONALES COMO TRABAJADORA SOCIAL PARA APOYAR LA IMPLEMENTACIÓN DE INICIATIVAS ORIENTADAS A LA GENERACIÓN DE ENTORNOS PROTECTORES, FORTALECIMIENTO DE LOS LIDERAZGOS Y PARTICIPACIÓN EN EL MARCO DE LOS PROGRAMAS PRIMERA INFANCIA, EL CENTRO DE LA SOCIEDAD; CRECE CONMIGO: UNA INFANCIA FELIZ Y CONSTRUCCIÓN DE ENTORNOS PARA UNA ADOLESCENCIA SANA DE LA SECRETARIA DE DESARROLLO SOCIAL DE LA ALCALDÍA DE BUCARAMANGA
</t>
  </si>
  <si>
    <t>SDS-SDS-CPS-365-2023</t>
  </si>
  <si>
    <t>PRESTAR SERVICIOS DE APOYO A LA GESTIÓN PARA LA IMPLEMENTACIÓN DE ESTRATEGIAS LUDICOPEDAGÓGICAS ORIENTADAS A LA GENERACIÓN DE ENTORNOS PROTECTORES EN EL MARCO DE LOS PROGRAMAS PRIMERA INFANCIA EL CENTRO DE LA SOCIEDAD, CRECE CONMIGO: UNA INFANCIA FELIZ Y CONSTRUCCIÒN DE ENTORNOS PARA UNA ADOLESCENCIA SANA DE LA SECRETARIA DE DESARROLLO SOCIAL DE BUCARAMANGA</t>
  </si>
  <si>
    <t>SDS-SDS-CPS-368-2023</t>
  </si>
  <si>
    <t>PRESTAR SERVICIOS DE APOYO A LA GESTIÓN PARA APOYAR LA OPERATIVIDAD ADMINISTRATIVA DEL PROGRAMA “COLOMBIA MAYOR” Y EL PROGRAMA ADULTO MAYOR Y DIGNO ADSCRITO A LA SECRETARIA DE DESARROLLO SOCIAL</t>
  </si>
  <si>
    <t>SDS-SDS-CPS-369-2023</t>
  </si>
  <si>
    <t>SDS-SDS-CPS-370-2023</t>
  </si>
  <si>
    <t>PAGO SERVICIO DE INTERNET EN LAS ÁGORAS DE LIBERTAD,DIAMANTE,GAITAN,JOYA,PORVENIR,SAN MIGUEL,SANTANDER,KENNEDY PERIODO: JUNIO 01 HASTA JUNIO 30 DEL 2023 FACTURAS NO R 1022346418- R 1022346402-
R 1022388873-R 1022346486- R 1022346473- R 1022346442- R 1022346457 R 1022332158.</t>
  </si>
  <si>
    <t>SDS-SDS-CPS-380-2023</t>
  </si>
  <si>
    <t xml:space="preserve">PRESTAR SERVICIOS DE APOYO A LA GESTIÓN PARA LA IMPLEMENTACIÓN DE ACCIONES ORIENTADAS A LA GENERACIÓN DE ENTORNOS PROTECTORES PARA NIÑOS, NIÑAS Y ADOLESCENTES PARA LA PREVENCCIÓN DE VIOLENCIAS Y TRABAJO INFANTIL EN EL MARCO DE LOS PROGRAMAS PRIMERA INFANCIA, EL CENTRO DE LA SOCIEDAD; CRECE CONMIGO: UNA INFANCIA FELIZ Y CONSTRUCCIÓN DE ENTORNOS PARA UNA ADOLESCENCIA SANA EN LA SECRETARIA DE DESARROLLO SOCIAL DEL MUNICIPIO DE BUCARAMANGA
</t>
  </si>
  <si>
    <t>SDS-SDS-CPS-371-2023</t>
  </si>
  <si>
    <t>PRESTAR SERVICIOS PROFESIONALES ORIENTADOS AL FORTALECIMIENTO DE LA COMUNICACIÓN ESTRATÉGICA DE LA SECRETARÍA DE DESARROLLO SOCIAL EN LO REALACIONADO AL DESARROLLO CREATIVO Y DE CONCEPTO JUNTO AL DISEÑO DE CONTENIDOS DIGITALES EN EL MARCO DE LOS PROGRAMAS PRIMERA INFANCIA, EL CENTRO DE LA SOCIEDAD; CRECE CONMIGO: UNA INFANCIA FELIZ, Y CONSTRUCCIÓN DE ENTORNOS PARA UNA ADOLESCENCIA SANA</t>
  </si>
  <si>
    <t>SDS-SDS-CPS-372-2023</t>
  </si>
  <si>
    <t xml:space="preserve">PRESTAR SERVICIOS PROFESIONALES DE APOYO EN LA GESTIÓN DE PROCESOS, PROCESOS DE GESTIÓN DOCUMENTAL Y ADMINISTRATIVOS EN EL MARCO DE FORTALECIMIENTO DE LA ATENCIÓN DE LAS PERSONAS CON DISCAPACIDAD PARA EL GOCE EFECTIVO DE SUS DERECHOS FUNDAMENTALES EN EL MUNICIPIO DE BUCARAMANGA.
</t>
  </si>
  <si>
    <t>2.3.2.02.02.009.4104020.91114.501</t>
  </si>
  <si>
    <t>SDS-SDS-CPS-377-2023</t>
  </si>
  <si>
    <t>SERVICIO DE ATENCION INTEGRAL A POBLACION EN CONDICION DE DISCAPACIDAD 501</t>
  </si>
  <si>
    <t>SDS-SDS-CPS-379-2023</t>
  </si>
  <si>
    <t xml:space="preserve">PRESTAR SERVICIOS PROFESIONALES PARA APOYAR LA OPERATIVIDAD ADMINISTRATIVA DEL PROGRAMA “COLOMBIA MAYOR” Y EL PROGRAMA DE ATENCIÓN INTEGRAL A LAS PERSONAS MAYORES DEL MUNICIPIO DE BUCARAMANGA ADSCRITO A LA SECRETARÍA DE DESARROLLO SOCIAL
</t>
  </si>
  <si>
    <t>SDS-SDS-CPS-374-2023</t>
  </si>
  <si>
    <t xml:space="preserve">PRESTAR SERVICIOS PROFESIONALES COMO LICENCIADA EN PEDAGOGÍA INFANTIL PARA LA IMPLEMENTACIÓN DE ESTRATEGIAS LUDICOPEDAGÓGICAS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
</t>
  </si>
  <si>
    <t>SDS-SDS-CPS-378-2023</t>
  </si>
  <si>
    <t>SDS-SDS-CPS-373-2023</t>
  </si>
  <si>
    <t>PRESTAR SERVICIOS DE APOYO A LA GESTIÓN EN EL MARCO ADMINISTRATIVO DE FORTALECIMIENTO A LA ATENCIÓN INTEGRAL DE LAS PERSONAS CON DISCAPACIDAD EN EL MUNICIPIO DE BUCARAMANGA.</t>
  </si>
  <si>
    <t>SDS-SDS-CPS-383-2023</t>
  </si>
  <si>
    <t>PRESTAR SERVICIOS PROFESIONALES COMO FISIOTERAPEUTA PARA APOYAR LOS PROCESOS DE ATENCIÓN INTEGRAL E INCLUSIÓN SOCIAL A LA POBLACIÓN CON DISCAPACIDAD BENEFICIARIA DEL MUNICIPIO DE BUCARAMANGA.</t>
  </si>
  <si>
    <t>SDS-SDS-CPS-381-2023</t>
  </si>
  <si>
    <t xml:space="preserve">PRESTAR SERVICIOS PROFESIONALES PARA APOYAR CON ORIENTACIÓN FINANCIERA Y CONTABLE LAS ORGANIZACIONES COMUNITARIAS DE PRIMER Y SEGUNDO GRADO DENTRO DEL PROGRAMA DE FORTALECIMIENTO DE LAS INSTITUCIONES DEMOCRÁTICAS Y CIUDADANÍA PARTICIPATIVA DEL MUNICIPIO DE BUCARAMANGA.
</t>
  </si>
  <si>
    <t>SDS-SDS-CPS-382-2023</t>
  </si>
  <si>
    <t xml:space="preserve">PRESTAR SERVICIOS PROFESIONALES COMO COMUNICADORA SOCIAL PARA EL APOYO EN LA VISIBILIZACIÓN Y COMUNICACIÓN ESTRATÉGICA DE LA SECRETARÍA DE DESARROLLO SOCIAL DE BUCARAMANGA
</t>
  </si>
  <si>
    <t>SDS-SDS-CPS-375-2023</t>
  </si>
  <si>
    <t xml:space="preserve">PRESTAR SERVICIOS DE APOYO LOGÍSTICO Y ADMINISTRATIVO A LA GESTION PARA EL ACOMPAÑAMIENTO DE LAS DIFERENTES ACTIVIDADES REQUERIDAS PARA LA ATENCIÓN INTEGRAL DE LA POBLACIÓN CON DISCAPACIDAD EN EXTREMA VULNERABILIDAD Y COADYUVAR EN LA GESTIÓN ADMINISTRATIVA DEL MUNICIPIO DE BUCARAMANGA, SANTANDER.
</t>
  </si>
  <si>
    <t>SDS-SDS-CPS-388-2023</t>
  </si>
  <si>
    <t>SDS-SDS-CPS-385-2023-1</t>
  </si>
  <si>
    <t>SDS-SDS-CPS-384-2023</t>
  </si>
  <si>
    <t>ADQUISICIÓN DE IMPRESORAS EN 3D Y CARRETAS PARA LA PUESTA EN FUNCIONAMIENTO DE LA ESCUELA DE FORMACIÓN Y LIGA DE ROBÓTICA Y FOMENTO DE ORIENTACIÓN VOCACIONAL DE NIÑOS, NIÑAS Y ADOLESCENTES DEL MUNICIPIO DE BUCARAMANGA</t>
  </si>
  <si>
    <t>CARLOS AUGUSTO HERNANDEZ SANCHEZ</t>
  </si>
  <si>
    <t>2.3.2.01.01.003.03.4102038.45269.201</t>
  </si>
  <si>
    <t>SDS-SDS-MC-004-2023-1</t>
  </si>
  <si>
    <t>SERVICIO DIRIGIDOS A LA ATENCION DE NIOS, NIAS, ADOLESCENTES Y JOVENES, CON ENFOQUE PEDAGOGICO Y RESTAURATIVO ENCAMINADOS A LA INCLUSION SOCIAL .201</t>
  </si>
  <si>
    <t>91287026</t>
  </si>
  <si>
    <t>SDS-SDS-CPS-387-2023</t>
  </si>
  <si>
    <t>SDS-SDS-CPS-376-2023</t>
  </si>
  <si>
    <t xml:space="preserve">PRESTAR SERVICIOS PROFESIONALES COMO FISIOTERAPEUTA PARA APOYAR LOS PROCESOS DE ATENCIÓN INTEGRAL E INCLUSIÓN SOCIAL A LA POBLACIÓN CON DISCAPACIDAD BENEFICIARIA DEL MUNICIPIO DE BUCARAMANGA.
</t>
  </si>
  <si>
    <t>SDS-SDS-CPS-386-2023</t>
  </si>
  <si>
    <t>SDS-SDS-CPS-397-2023</t>
  </si>
  <si>
    <t>PRESTAR SERVICIOS PROFESIONALES COMO ABOGADO PARA APOYAR EN LA ASISTENCIA JURÍDICA Y REPRESENTACIÓN JUDICIAL EN LA SECRETARÍA DE DESARROLLO SOCIAL EN EL MARCO DEL PROYECTO "APOYO A LA GESTIÓN ADMINISTRATIVA Y PROCESOS TRANSVERSALES DE LA SECRETARIA DE DESARROLLO SOCIAL DEL MUNICIPIO DE BUCARAMANGA"</t>
  </si>
  <si>
    <t>MANUEL ALEJANDRO TELLEZ MOGOLLON</t>
  </si>
  <si>
    <t>SDS-SDS-CPS-402-2023</t>
  </si>
  <si>
    <t>1095838995</t>
  </si>
  <si>
    <t>PRESTAR SERVICIOS DE APOYO A LA GESTIÓN Y ATENCIÓN AL PUBLICO EN EL DESARROLLO DE LAS DIFERENTES ACTIVIDADES DENTRO DEL PROGRAMA FORTALECIMIENTO DE LAS INSTITUCIONES DEMOCRÁTICAS Y CIUDADANÍA PARTICIPATIVA EN EL MUNICIPIO DE BUCARAMANGA.</t>
  </si>
  <si>
    <t>SDS-SDS-CPS-389-2023</t>
  </si>
  <si>
    <t>PRESTAR SERVICIOS DE APOYO A LA GESTIÓN EN LA ATENCIÓN Y ORIENTACIÓN AL CIUDADANO ESPECIALMENTE LOS USUARIOS DE LOS SALONES COMUNALES Y APOYO LOGÍSTICO PARA LA SOCIALIZACION DE LOS PROGRAMAS SOCIALES DE LA SECRETARIA DE DESARROLLO SOCIAL DEL MUNICIPIO DE BUCARAMANGA AGORA.</t>
  </si>
  <si>
    <t>SDS-SDS-CPS-392-2023</t>
  </si>
  <si>
    <t xml:space="preserve">PRESTAR SERVICIOS PROFESIONALES COMO PSICÓLOGA PARA APOYAR LA IMPLEMENTACIÓN DE ESTRATEGIAS ORIENTADAS A LA GENERACIÓN DE ENTORNOS PROTECTORES PARA NIÑOS Y NIÑAS, EN EL MARCO DE LOS PROGRAMAS A) PRIMERA INFANCIA, EL CENTRO DE LA SOCIEDAD, B) CRECE CONMIGO: UNA INFANCIA FELIZ, Y C) CONSTRUCCIÓN DE ENTORNOS PARA UNA ADOLESCENCIA SANA, ADSCRITOS A LA SECRETARIA DE DESARROLLO SOCIAL
</t>
  </si>
  <si>
    <t>SDS-SDS-CPS-393-2023-1</t>
  </si>
  <si>
    <t>SDS-SDS-CPS-395-2023</t>
  </si>
  <si>
    <t>SDS-SDS-CPS-390-2023</t>
  </si>
  <si>
    <t>PRESTAR SERVICIOS PROFESIONALES COMO LICENCIADA EN PEDAGOGÍA INFANTIL PARA LA IMPLEMENTACIÓN DE ESTRATEGIAS LUDICOPEDAGOGICAS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t>
  </si>
  <si>
    <t>SDS-SDS-CPS-391-2023</t>
  </si>
  <si>
    <t xml:space="preserve">PRESTAR SERVICIOS DE APOYO A LA ATENCIÓN AL CIUDADANO DEL PROGRAMA FAMILIAS EN ACCIÓN A CARGO DE LA SECRETARIA DE DESARROLLO SOCIAL DEL MUNICIPIO DE BUCARAMANGA
</t>
  </si>
  <si>
    <t>SDS-SDS-CPS-401-2023</t>
  </si>
  <si>
    <t>SDS-SDS-CPS-400-2023</t>
  </si>
  <si>
    <t>PRESTAR SERVICIOS PARA APOYAR EL DESARROLLO DE LA ESTRATEGIA DE PARTICIPACIÓN DEMOCRÁTICA Y EL FORTALECIMIENTO DE LOS LIDERAZGO JUVENILES PARA EL DESARROLLO INTEGRAL Y EL EMPRENDIMIENTO.</t>
  </si>
  <si>
    <t>SDS-SDS-CPS-394-2023</t>
  </si>
  <si>
    <t xml:space="preserve">PRESTAR SERVICIOS PROFESIONALES PARA LA IMPLEMENTACIÓN DE UNA INICIATIVA ORIENTADA AL FOMENTO DEL DESARROLLO TECNOLÓGICO E INNOVACIÓN DE NIÑOS, NIÑAS Y ADOLESCENTES EN EL MARCO DE LOS PROGRAMAS CRECE CONMIGO: UNA INFANCIA FELIZ Y CONSTRUCCIÓN DE ENTORNOS PARA UNA ADOLESCENCIA SANA DE LA SECRETARIA DE DESARROLLO SOCIAL DEL MUNICIPIO DE BUCARAMANGA
</t>
  </si>
  <si>
    <t>SDS-SDS-CPS-396-2023</t>
  </si>
  <si>
    <t>SDS-SDS-CPS-398-2023</t>
  </si>
  <si>
    <t xml:space="preserve">PRESTAR SERVICIOS DE APOYO LOGÍSTICO Y ADMINISTRACIÓN A LA GESTIÓN PARA EL ACOMPAÑAMIENTO DE LAS DIFERENTES ACTIVIDADES REQUERIDAS PARA LA ATENCIÓN INTEGRAL DE LA POBLACIÓN CON DISCAPACIDAD EN EXTREMA VULNERABILIDAD Y COADYUVAR EN LA GESTIÓN ADMINISTRATIVA DEL MUNICIPIO DE BUCARAMANGA, SANTANDER
</t>
  </si>
  <si>
    <t>SDS-SDS-CPS-399-2023</t>
  </si>
  <si>
    <t>SDS-SDS-CPS-403-2023</t>
  </si>
  <si>
    <t xml:space="preserve">PRESTAR SERVICIOS DE APOYO A LA GESTIÓN EN LA ATENCIÓN Y ORIENTACIÓN AL CIUDADANO EN LAS ÁGORAS PARA LA SOCIALIZACIÓN DE LOS PROGRAMAS SOCIALES DE LA SECRETARÍA DE DESARROLLO SOCIAL DEL MUNICIPIO DE BUCARAMANGA.
</t>
  </si>
  <si>
    <t>SDS-SDS-CPS-409-2023</t>
  </si>
  <si>
    <t>SDS-SDS-CPS-408-2023</t>
  </si>
  <si>
    <t>PRESTAR SERVICIOS COMO TÉCNICO EN PRODUCCIÓN AGROPECUARIA PARA APOYAR LAS DIFERENTES ACTIVIDADES DEL PROGRAMA DESARROLLO DEL CAMPO DE LA SECRETARIA DE DESARROLLO SOCIAL DEL MUNICIPIO.</t>
  </si>
  <si>
    <t>2.3.2.02.02.009.1702010.91131.501</t>
  </si>
  <si>
    <t>SDS-SDS-CPS-404-2023</t>
  </si>
  <si>
    <t>AGRICULTURA Y DESARROLLO RURAL INCLUSION PRODUCTIVA DE PEQUEÑOS PRODUCTORES RURALES SERVICIO DE ASISTENCIA TECNICA AGROPECUARIA DIRIGIDA A PEQUEÑOS PRODUCTORES 501</t>
  </si>
  <si>
    <t>PRESTAR SERVICIOS PROFESIONALES COMO ABOGADO PARA APOYAR LA SUPERVISIÓN DE CONTRATOS Y CONVENIOS EN VIRTUD DE LA GESTIÓN CONTRACTUAL DE LA SECRETARÍA DE DESARROLLO SOCIAL, EN EL MARCO DEL PROYECTO “APOYO A LA GESTIÓN ADMINISTRATIVA Y PROCESOS TRANSVERSALES DE LA SECRETARIA DE DESARROLLO SOCIAL DEL MUNICIPIO DE BUCARAMANGA</t>
  </si>
  <si>
    <t>DAVID ALEJANDRO HERRERA RINCÓN</t>
  </si>
  <si>
    <t>SDS-SDS-CPS-411-2023</t>
  </si>
  <si>
    <t>1098795352</t>
  </si>
  <si>
    <t>SDS-SDS-CPS-406-2023</t>
  </si>
  <si>
    <t>PRESTAR SERVICIOS PROFESIONALES COMO PSICÓLOGA AL INTERIOR DE LOS PROGRAMAS MÁS EQUIDAD PARA LAS MUJERES Y BUCARAMANGA HÁBITAT PARA EL CUIDADO, MEDIANTE EL APOYO AL ÁREA ASESORA DE MUJER Y EQUIDAD DE GÉNERO.</t>
  </si>
  <si>
    <t>SDS-SDS-CPS-410-2023</t>
  </si>
  <si>
    <t xml:space="preserve">PRESTAR SERVICIOS DE APOYO A LA GESTIÓN PARA LA IMPLEMENTACIÓN DE ESTRATEGIAS LUDICOPEDAGÓGICAS ORIENTADAS A LA GENERACIÓN DE ENTORNOS PROTECTORES EN EL MARCO DE LOS PROGRAMAS PRIMERA INFANCIA EL CENTRO DE LA SOCIEDAD, CRECE CONMIGO: UNA INFANCIA FELIZ Y CONSTRUCCIÓN DE ENTORNOS PARA UNA ADOLESCENCIA SANA DE LA SECRETARIA DE DESARROLLO SOCIAL DE BUCARAMANGA
</t>
  </si>
  <si>
    <t>SDS-SDS-402-2023</t>
  </si>
  <si>
    <t>PRESTAR SERVICIOS DE APOYO A LA GESTIÓN EN LA ATENCIÓN Y ORIENTACIÓN AL CIUDADANO EN LAS ÁGORAS PARA LA SOCIALIZACIÓN DE LOS PROGRAMAS SOCIALES DE LA SECRETARÍA DE DESARROLLO SOCIAL DEL MUNICIPIO DE BUCARAMANGA</t>
  </si>
  <si>
    <t>SDS-SDS-CPS-412-2023</t>
  </si>
  <si>
    <t>SDS-SDS-CPS-407-2023</t>
  </si>
  <si>
    <t>SDS-SDS-CPS-417-2023</t>
  </si>
  <si>
    <t>PRESTAR SERVICIO DE APOYO A LA TERRITORIALIZACION DE OFERTA EN EL SECTOR RURAL CON EL PROGRAMA DESARROLLO DEL CAMPO ADSCRITO A LA SECRETARIA DE DESARROLLO SOCIAL DEL MUNICIPIO DE BUCARAMANGA</t>
  </si>
  <si>
    <t>SDS-SDS-CPS-426-2023</t>
  </si>
  <si>
    <t xml:space="preserve">PRESTAR SERVICIO DE APOYO A LA TERRITORIALIZACION DE OFERTA EN EL SECTOR RURAL CON EL PROGRAMA DESARROLLO DEL CAMPO ADSCRITO A LA SECRETARIA DE DESARROLLO SOCIAL DEL MUNICIPIO DE BUCARAMANGA
</t>
  </si>
  <si>
    <t>SDS-SDS-CPS-420-2023</t>
  </si>
  <si>
    <t xml:space="preserve">PRESTAR SERVICIOS DE APOYO A LA GESTIÓN AL INTERIOR DE LOS PROGRAMAS BUCARAMANGA, HÁBITAT PARA EL CUIDADO Y LA CORRESPONSABILIDAD Y MÁS EQUIDAD PARA LAS MUJERES ACOMPAÑANDO LAS ESTRATEGIAS ORIENTADAS AL BIENESTAR DE LA POBLACIÓN SEXUALMENTE DIVERSA DE BUCARAMANGA.
</t>
  </si>
  <si>
    <t>SDS-SDS-CPS-427-2023</t>
  </si>
  <si>
    <t xml:space="preserve">PRESTAR SERVICIOS DE APOYO A LA GESTIÓN EN LAS ESTRATEGIAS TERRITORIALES DE CARÁCTER SOCIAL Y COMUNITARIO EN EL PROGRAMA DE FORTALECIMIENTO DE LAS INSTITUCIONES DEMOCRÁTICAS Y CIUDADANÍA PARTICIPATIVA DEL MUNICIPIO DE BUCARAMANGA.
</t>
  </si>
  <si>
    <t>SDS-SDS-CPS-419-2023</t>
  </si>
  <si>
    <t xml:space="preserve">PRESTAR SERVICIOS PROFESIONALES PARA LA IMPLEMENTACIÓN DE ESTRATEGIAS LUDICOPEDAGÓGICAS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
</t>
  </si>
  <si>
    <t>SDS-SDS-CPS-416-2023</t>
  </si>
  <si>
    <t xml:space="preserve">PRESTAR SERVICIOS DE APOYO A LA GESTIÓN EN EL COMPONENTE PEDAGÓGICO EN CASA BÚHO DE LA SECRETARÍA DE DESARROLLO SOCIAL DEL MUNICIPIO DE BUCARAMANGA.
</t>
  </si>
  <si>
    <t>SDS-SDS-CPS-418-2023</t>
  </si>
  <si>
    <t>SDS-SDS-CPS-413-2023</t>
  </si>
  <si>
    <t xml:space="preserve">PRESTAR SERVICIOS PROFESIONALES EN PSICOLOGÍA ORIENTADOS A LA PROMOCIÓN DE LOS SERVICIOS DE LOS PROGRAMAS MÁS EQUIDAD PARA LAS MUJERES Y BUCARAMANGA HÁBITAT PARA EL CUIDADO Y LA CORRESPONSABILIDAD ENFOCADO A VIOLENCIAS BASADAS EN GÉNERO DESDE EL COMPONENTE DE INTERVENCIÓN PSICOSOCIAL.
</t>
  </si>
  <si>
    <t>SDS-SDS-CPS-422-2023</t>
  </si>
  <si>
    <t>PRESTAR SERVICIOS PROFESIONALES EN PSICOLOGÍA ORIENTADOS A LA PROMOCIÓN DE LOS SERVICIOS DE LOS PROGRAMAS MAS EQUIDAD PARA LAS MUJERES Y BUCARAMANGA HÁBITAT PARA EL CUIDADO Y LA CORRESPONSABILIDAD EN LA ZONA NORTE DE LA CIUDAD DESDE EL COMPONENTE DE INTERVENCIÓN PSICOSOCIAL</t>
  </si>
  <si>
    <t>SDS-SDS-CPS-421-2023</t>
  </si>
  <si>
    <t>SDS-SDS-CPS-405-2023</t>
  </si>
  <si>
    <t xml:space="preserve">PRESTAR SERVICIOS PROFESIONALES COMO TRABAJADORA SOCIAL EN LA IMPLEMENTACIÓN DE ESTRATEGIAS ORIENTADAS A LA PREVENCION DE FACTORES DE RIESGO JUNTO AL FORTALECIMIENTO DE LIDERAZGOS DE NIÑOS, NIÑAS Y ADOLESCENTES EN EL MARCO DE LOS PROGRAMAS PRIMERA INFANCIA, EL CENTRO DE LA SOCIEDAD; CRECE CONMIGO: UNA INFANCIA FELIZ, Y CONSTRUCCIÓN DE ENTORNOS PARA UNA ADOLESCENCIA SANA, ADSCRITOS A LA SECRETARIA DE DESARROLLO SOCIAL DEL MUNICIPIO DE BUCARAMANGA
</t>
  </si>
  <si>
    <t>SDS-SDS-CPS-429-2023</t>
  </si>
  <si>
    <t>SDS-SDS-CPS-414-2023</t>
  </si>
  <si>
    <t>SDS-SDS-CPS-423-2023</t>
  </si>
  <si>
    <t xml:space="preserve">PRESTAR SERVICIOS PROFESIONALES EN DERECHO PARA EL FORTALECIMIENTO DE LAS RUTAS DE ATENCIÓN A CASOS DE VIOLENCIA DE GÉNERO Y ASISTENCIA TÉCNICA JURÍDICA PARA EL BIENESTAR DE LAS MUJERES DESDE EL PROGRAMA MUJER Y EQUIDAD DE GÉNEROS DE LA SECRETARIA DE DESARROLLO SOCIAL DEL MUNICIPIO DE BUCARAMANGA
</t>
  </si>
  <si>
    <t>SDS-SDS-CPS-424-2023</t>
  </si>
  <si>
    <t xml:space="preserve">PRESTAR SERVICIOS DE APOYO A LA GESTIÓN COMO TECNOLOGO DEPORTIVO PARA APOYAR LA IMPLEMENTACIÓN DE ACTIVIDADES EN LAS QUE SE PROMUEVA LA LÚDICA Y LA RECREACIÓN DE NIÑOS, NIÑAS Y ADOLESCENTES EL MARCO DE LOS PROGRAMAS PRIMERA INFANCIA, EL CENTRO DE LA SOCIEDAD; CRECE CONMIGO: UNA INFANCIA FELIZ Y CONSTRUCCIÓN DE ENTORNOS PARA UNA ADOLESCENCIA SANA EN LA SECRETARIA DE DESARROLLO SOCIAL DEL MUNICIPIO DE BUCARAMANGA.
</t>
  </si>
  <si>
    <t>SDS-SDS-CPS-431-2023</t>
  </si>
  <si>
    <t xml:space="preserve">PRESTAR LOS SERVICIOS PROFESIONALES PARA LA ASISTENCIA TÉCNICA Y ACOMPAÑAMIENTO DE LOS PROYECTOS AGROINDUSTRIALES QUE EJECUTE LA SECRETARIA DE DESARROLLO SOCIAL DEL MUNICIPIO DE BUCARAMANGA.
</t>
  </si>
  <si>
    <t>SDS-SDS-CPS-415-2023</t>
  </si>
  <si>
    <t xml:space="preserve">PRESTAR SERVICIOS PROFESIONALES PARA LA IMPLEMENTACIÓN DE LA ESTRATEGIA DE ORIENTACIÓN Y ATENCIÓN A PERSONAS CON DISCAPACIDAD PSICOSOCIAL Y SUS FAMILIAS
</t>
  </si>
  <si>
    <t>SDS-SDS-CPS-433-2023</t>
  </si>
  <si>
    <t xml:space="preserve">PRESTAR SERVICIOS PROFESIONALES COMO PSICÓLOGA PARA APOYAR LA IMPLEMENTACIÓN ESTRATEGIAS ORIENTADAS A LA GENERACIÓN DE ENTORNOS PROTECTORES Y FORTALECIMIENTO DE VÍNCULOS FAMILIARES ENTRE PADRES, MADRES E HIJOS, EL MARCO DE LOS PROGRAMAS PRIMERA INFANCIA, EL CENTRO DE LA SOCIEDAD; CRECE CONMIGO: UNA INFANCIA FELIZ Y CONSTRUCCIÓN DE ENTORNOS PARA UNA ADOLESCENCIA SANA IMPLEMENTADOS POR LA SECRETARIA DE DESARROLLO SOCIAL DEL MUNICIPIO DE BUCARAMANGA
</t>
  </si>
  <si>
    <t>SDS-SDS-CPS-437-2023</t>
  </si>
  <si>
    <t>SDS-SDS-CPS-459-2023</t>
  </si>
  <si>
    <t xml:space="preserve">PRESTAR SERVICIOS PROFESIONALES PARA BRINDAR APOYO JURÍDICO AL PROGRAMA FORTALECIMIENTO DE LAS INSTITUCIONES DEMOCRÁTICAS Y CIUDADANÍA PARTICIPATIVA DEL MUNICIPIO DE BUCARAMANGA ESPECIALMENTE EN LA ATENCIÓN A JUNTAS DE ACCIÓN COMUNAL Y JUNTAS ADMINISTRADORA
</t>
  </si>
  <si>
    <t>SDS-SDS-CPS-439-2023</t>
  </si>
  <si>
    <t>SDS-SDS-CPS-456-2023</t>
  </si>
  <si>
    <t>SDS-SDS-CPS-445-2023</t>
  </si>
  <si>
    <t>PRESTAR SERVICIOS PROFESIONALES PARA APOYAR LAS ACTIVIDADES DEL PROGRAMA FAMILIAS EN ACCIÓN, ESPECIALMENTE LAS RELACIONADAS CON LA OFERTA COMPLEMENTARIA DEL COMPONENTE DE BIENESTAR COMUNITARIO</t>
  </si>
  <si>
    <t>SDS-SDS-CPS-430-2023</t>
  </si>
  <si>
    <t>SDS-SDS-CPS-457-2023</t>
  </si>
  <si>
    <t xml:space="preserve">PRESTAR SERVICIOS DE APOYO EN LA GESTIÓN DOCUMENTAL Y ORGANIZACIÓN DEL ARCHIVO DE LA SECRETARIA DE DESARROLLO SOCIAL EN EL MARCO DEL PROYECTO "APOYO A LA GESTIÓN ADMINISTRATIVA Y PROCESOS TRANSVERSALES DE LA SECRETARIA DE DESARROLLO SOCIAL DEL MUNICIPIO DE BUCARAMANGA"
</t>
  </si>
  <si>
    <t>SDS-SDS-CPS-438-2023</t>
  </si>
  <si>
    <t>SDS-SDS-CPS-443-2023</t>
  </si>
  <si>
    <t>SDS-SDS-CPS-435-2023</t>
  </si>
  <si>
    <t>PAGO DE SERVICIO DE INTERNET DE LOS PROGRAMAS PROGRAMA MUJER Y EQUIDAD DE GENERO CARRERA 34 NO 35-39 BARRIO ALVAREZ(CENTRO INTEGRAL DE LA MUJER) PROGRAMA ADULTO MAYOR DIAGONAL 14 NO 56-02 BARRIO GOMEZ NIÑO (CENTRO VIDA AÑOS MARAVILLOSOS) PROGRAMA ADULTO MAYOR CALLE 33 NO 40-18 BARRIO ALVAREZ (CENTRO VIDA ALVAREZ) PROGRAMA HABITANTE DE CALLE CALLE 30 NO 17-74 BARRIO CENTRO POR EL PERIODO JUNIO 01 HASTA JUNIO 30 DEL 2023 SEGÚN FACTURA DE SERVICIO NO 3 - 291203375</t>
  </si>
  <si>
    <t>ADQUISICIÓN DE MATERIALES PARA LA IMPLEMENTACIÓN DE SISTEMAS DE RIEGO POR GOTEO EN CULTIVOS PERMANENTES COMO ESTRATEGIA DEL FORTALECIMIENTO DE LA PRODUCTIVIDAD DEL SECTOR RURAL EN EL MUNICIPIO DE BUCARAMANGA</t>
  </si>
  <si>
    <t>LA BODEGA ELECTRICA SAS</t>
  </si>
  <si>
    <t>2.3.2.02.01.000.1702010.4415004.201</t>
  </si>
  <si>
    <t>SDS-SDS-SASI-006-2023</t>
  </si>
  <si>
    <t>SERVICIO DE ASISTENCIA TECNICA AGROPECUARIA DIRIGIDA A PEQUEÑOS PRODUCTORES 201</t>
  </si>
  <si>
    <t>804014181</t>
  </si>
  <si>
    <t>PRESTAR SERVICIOS COMO APOYO EN LA GESTIÓN LOGÍSTICA Y ADMINISTRATIVA PARA LA REALIZACIÓN DE ACTIVIDADES CON EL PROPÓSITO DE TERRITORIALIZAR LA OFERTA INSTITUCIONAL DE LA SECRETARÍA DE DESARROLLO SOCIAL</t>
  </si>
  <si>
    <t>SDS-SDS-CPS-454-2023</t>
  </si>
  <si>
    <t>PRESTAR SERVICIOS PROFESIONALES COMO PSICÓLOGO EN EL MARCO DE LAS ESTRATEGIAS DE SALUD EMOCIONAL ORIENTADAS A LAS POBLACIONES VULNERABLES DE LA SECRETARÍA DE DESARROLLO SOCIAL.</t>
  </si>
  <si>
    <t>SDS-SDS-CPS-468-2023</t>
  </si>
  <si>
    <t>PRESTAR SERVICIOS PROFESIONALES EN EL DESARROLLO DE LAS ESTRATEGIAS Y ACTIVIDADES DE LOS PROGRAMAS PRIMERA INFANCIA, INFANCIA Y ADOLESCENCIA DE LA SECRETARIA DE DESARROLLO SOCIAL DEL MUNICIPIO DE BUCARAMANGA.</t>
  </si>
  <si>
    <t>SDS-SDS-CPS-440-2023</t>
  </si>
  <si>
    <t xml:space="preserve">PRESTAR SERVICIOS PROFESIONALES EN PSICOLOGÍA PARA FORTALECER LOS PROCESOS DE ATENCIÓN INTEGRAL A POBLACIÓN VULNERABLE Y ACOMPAÑAMIENTO A LA COORDINACIÓN DEL PROGRAMA DESDE UN ENFOQUE TÉCNICO – HABITANTE DE CALLE- BENEFICIARIOS DE LOS PROGRAMAS OFERTADOS POR LA SECRETARÍA DE DESARROLLO SOCIAL DEL MUNICIPIO DE BUCARAMANGA
</t>
  </si>
  <si>
    <t>2.3.2.02.02.009.4104026.91114.501</t>
  </si>
  <si>
    <t>SDS-SDS-CPS-449-2023</t>
  </si>
  <si>
    <t>SERVICIO DE ARTICULACION DE OFERTA SOCIAL PARA LA POBLACION HABITANTE DE CALLE 501</t>
  </si>
  <si>
    <t>SDS-SDS-CPS-475-2023</t>
  </si>
  <si>
    <t>SDS-SDS-CPS-467-2023</t>
  </si>
  <si>
    <t>PRESTAR SERVICIOS DE APOYO A LA GESTIÓN, EN LA ATENCIÓN Y SEGUIMIENTO A LA POBLACIÓN VULNERABLE BENEFICIARIA DEL PROGRAMA HABITANTE DE CALLE DE LA SECRETARIA DE DESARROLLO SOCIAL DEL MUNICIPIO DE BUCARAMANGA</t>
  </si>
  <si>
    <t>SDS-SDS-CPS-464-2023</t>
  </si>
  <si>
    <t>PRESTAR SERVICIOS PROFESIONALES PARA BRINDAR APOYO SOCIAL Y COMUNITARIO AL PROGRAMA DE FORTALECIMIENTO DE LAS INSTITUCIONES DEMOCRÁTICAS Y CIUDADANÍA PARTICIPATIVA DEL MUNICIPIO DE BUCARAMANGA EN EL MARCO DE LA ESTRATEGIA DE PARTICIPACIÓN DEMOCRÁTICA.</t>
  </si>
  <si>
    <t>SDS-SDS-CPS-474-2023</t>
  </si>
  <si>
    <t>YEZENNIA NAVARRO GELVEZ</t>
  </si>
  <si>
    <t>SDS-SDS-CPS-463-2023</t>
  </si>
  <si>
    <t>YURLEIDA PABON PABON</t>
  </si>
  <si>
    <t>SDS-SDS-CPS-466-2023</t>
  </si>
  <si>
    <t>SDS-SDS-CPS-453-2023</t>
  </si>
  <si>
    <t>PRESTAR SERVICIOS DE APOYO A LA GESTIÓN EN LA ATENCIÓN Y ORIENTACIÓN AL CIUDADANO Y ORGANIZACIONES COMUNALES DENTRO DEL PROGRAMA INSTITUCIONES DEMOCRÁTICAS Y CIUDADANÍA PARTICIPATIVA Y APOYO LOGÍSTICO PARA LA SOCIALIZACIÓN DE LOS PROGRAMAS SOCIALES DE LA SECRETARÍA DE DESARROLLO SOCIAL DEL MUNICIPIO DE BUCARAMANGA.</t>
  </si>
  <si>
    <t>SDS-SDS-CPS-473-2023</t>
  </si>
  <si>
    <t>SDS-SDS-CPS-455-2023</t>
  </si>
  <si>
    <t>PRESTAR LOS SERVICIOS PROFESIONALES PARA LA ASISTENCIA TÉCNICA Y ACOMPAÑAMIENTO DE LOS PROYECTOS QUE SE EJECUTEN EN EL SECTOR AGRICOLA DEL MUNICIPIO DE BUCARAMANGA, POR LA SECRETARIA DE DESARROLLO SOCIAL.</t>
  </si>
  <si>
    <t>SDS-SDS-CPS-436-2023</t>
  </si>
  <si>
    <t xml:space="preserve">PRESTAR SERVICIOS PROFESIONALES EN TRABAJO SOCIAL PARA LA IMPLEMENTACIÓN DE ACCIONES EL MARCO DE LOS PROGRAMAS PRIMERA INFANCIA, EL CENTRO DE LA SOCIEDAD; CRECE CONMIGO: UNA INFANCIA FELIZ Y CONSTRUCCIÓN DE ENTORNOS PARA UNA ADOLESCENCIA SANA EN LA SECRETARIA DE DESARROLLO SOCIAL DEL MUNICIPIO DE BUCARAMANGA
</t>
  </si>
  <si>
    <t>SDS-SDS-CPS-432-2023</t>
  </si>
  <si>
    <t>SDS-SDS-CPS-428-2023</t>
  </si>
  <si>
    <t>SDS-SDS-CPS-442-2023</t>
  </si>
  <si>
    <t>SDS-SDS-CPS-434-2023</t>
  </si>
  <si>
    <t>SDS-SDS-CPS-462-2023</t>
  </si>
  <si>
    <t>SDS-SDS-CPS-452-2023</t>
  </si>
  <si>
    <t xml:space="preserve">PRESTAR SERVICIOS DE APOYO A LA GESTIÓN PARA LA IMPLEMENTACION DE LAS ACTIVIDADES EN EL MARCO DE LOS PROGRAMAS PRIMERA INFANCIA, EL CENTRO DE LA SOCIEDAD; CRECE CONMIGO: UNA INFANCIA FELIZ Y CONSTRUCCIÓN DE ENTORNOS PARA UNA ADOLESCENCIA SANA IMPLEMENTADOS POR LA SECRETARIA DE DESARROLLO SOCIAL DE LA ALCALDÍA DE BUCARAMANGA
</t>
  </si>
  <si>
    <t>SDS-SDS-CPS-446-2023</t>
  </si>
  <si>
    <t>SDS-SDS-CPS-448-2023</t>
  </si>
  <si>
    <t>SDS-SDS-CPS-441-2023</t>
  </si>
  <si>
    <t>PRESTAR SERVICIOS DE APOYO A LA GESTIÓN EN LAS ESTRATEGIAS TERRITORIALES DE CARÁCTER SOCIAL Y COMUNITARIO EN EL PROGRAMA DE FORTALECIMIENTO DE LAS INSTITUCIONES DEMOCRÁTICAS Y CIUDADANÍA PARTICIPATIVA DEL MUNICIPIO DE BUCARAMANGA.</t>
  </si>
  <si>
    <t>SDS-SDS-CPS-444-2023</t>
  </si>
  <si>
    <t>SDS-SDS-CPS-450-2023</t>
  </si>
  <si>
    <t xml:space="preserve">PRESTAR SERVICIOS PROFESIONALES EN LAS ACTIVIDADES FÍSICO-RECREATIVAS Y DEPORTIVAS EN EL PROGRAMA HABITANTES EN SITUACIÓN DE CALLE DEL MUNICIPIO DE BUCARAMANGA
</t>
  </si>
  <si>
    <t>SDS-SDS-CPS-470-2023</t>
  </si>
  <si>
    <t>SDS-SDS-CPS-471-2023</t>
  </si>
  <si>
    <t>SDS-SDS-CPS-472-2023</t>
  </si>
  <si>
    <t xml:space="preserve">PRESTAR SERVICIOS PROFESIONALES PARA BRINDAR APOYO JURÍDICO AL PROGRAMA FORTALECIMIENTO DE LAS INSTITUCIONES DEMOCRÁTICAS Y CIUDADANÍA PARTICIPATIVA DEL MUNICIPIO DE BUCARAMANGA ESPECIALMENTE EN LA ATENCIÓN A JUNTAS DE ACCIÓN COMUNAL Y JUNTAS ADMINISTRADORAS LOCALES.
</t>
  </si>
  <si>
    <t>SDS-SDS-CPS-447-2023</t>
  </si>
  <si>
    <t>SDS-SDS-CPS-484-2023</t>
  </si>
  <si>
    <t>PRESTAR SERVICIOS PROFESIONALES APOYANDO LA COORDINACIÓN, GESTIÓN Y DESARROLLO DE LAS ACTIVIDADES DEL PROGRAMA DE DISCAPACIDAD EN LA SECRETARÍA DE DESARROLLO SOCIAL DEL MUNICIPIO DE BUCARAMANGA, SANTANDER.</t>
  </si>
  <si>
    <t>SDS-SDS-CPS-469-2023</t>
  </si>
  <si>
    <t xml:space="preserve">PRESTAR SERVICIOS PROFESIONALES DE LICENCIATURA EN EDUCACIÓN BÁSICA, EN EL MARCO DE LOS PROGRAMAS PRIMERA INFANCIA, EL CENTRO DE LA SOCIEDAD; CRECE CONMIGO: UNA INFANCIA FELIZ Y CONSTRUCCIÓN DE ENTORNOS PARA UNA ADOLESCENCIA SANA DE LA SECRETARIA DE DESARROLLO SOCIAL DEL MUNICIPIO DE BUCARAMANGA
</t>
  </si>
  <si>
    <t>SDS-SDS-CPS-458-2023</t>
  </si>
  <si>
    <t xml:space="preserve">PRESTAR SERVICIOS COMO APOYO EN LA GESTIÓN LOGÍSTICA Y ADMINISTRATIVA PARA LA REALIZACIÓN DE ACTIVIDADES CON EL PROPÓSITO DE TERRITORIALIZAR LA OFERTA INSTITUCIONAL DE LA SECRETARIA DE DESARROLLO SOCIAL
</t>
  </si>
  <si>
    <t>SDS-SDS-CPS-461-2023</t>
  </si>
  <si>
    <t>SDS-SDS-CPS-465-2023</t>
  </si>
  <si>
    <t>SDS-SDS-CPS-477-2023</t>
  </si>
  <si>
    <t>SDS-SDS-CPS-476-2023</t>
  </si>
  <si>
    <t xml:space="preserve">PRESTAR LOS SERVICIOS DE APOYO LOGÍSTICO A LOS MERCADILLO CAMPESINOS Y A LOS DIFERENTES PROGRAMAS DE LA SECRETARIA DE DESARROLLO SOCIAL DEL MUNICIPIO DE BUCARAMANGA
</t>
  </si>
  <si>
    <t>SDS-SDS-CPS-485-2023</t>
  </si>
  <si>
    <t xml:space="preserve">PRESTAR SERVICIOS PROFESIONALES EN TRABAJO SOCIAL ORIENTADOS AL ACOMPAÑAMIENTO PSICOSOCIAL DE MUJERES Y PERSONAS SEXUALMENTE DIVERSAS, ASÍ COMO EL DESARROLLO DE PROCESOS DE INTERVENCIÓN COMUNITARIA Y ESTRATEGIAS DE PREVENCIÓN DENTRO DE LOS PROGRAMAS MAS EQUIDAD PARA LAS MUJERES Y BUCARAMANGA HÁBITAT PARA EL CUIDADO Y LA CORRESPONSABILIDAD, ADSCRITO A LA SECRETARIA DE DESARROLLO SOCIAL DEL MUNICIPIO DE BUCARAMANGA
</t>
  </si>
  <si>
    <t>SDS-SDS-CPS-425-2023</t>
  </si>
  <si>
    <t>PRESTAR SERVICIOS COMO APOYO A LA GESTIÓN LOGÍSTICA Y ADMINISTRATIVA PARA LA REALIZACIÓN DE ACTIVIDADES CON EL PROPÓSITO DE TERRITORIALIZAR LA OFERTA INSTITUCIONAL DE LA SECRETARÍA DE DESARROLLO SOCIAL</t>
  </si>
  <si>
    <t>SDS-SDS-CPS-451-2023</t>
  </si>
  <si>
    <t xml:space="preserve">ESTUDIO DE LA INCIDENCIA DE LA OFERTA INSTITUCIONAL DE LOS CENTROS VIDA DEL MUNICIPIO EN EL BIENESTAR Y LA CALIDAD DE VIDA DE LAS PERSONAS MAYORES DEL MUNICIPIO DE BUCARAMANGA
</t>
  </si>
  <si>
    <t>CONVENIO INTERADMINISTRATIVO</t>
  </si>
  <si>
    <t>UNIVERSIDAD INDUSTRIAL DE SANTANDER UIS</t>
  </si>
  <si>
    <t>SDS-SDS-CI-005-2023</t>
  </si>
  <si>
    <t>890201213</t>
  </si>
  <si>
    <t>SDS-SDS-CPS-482-2023</t>
  </si>
  <si>
    <t xml:space="preserve">PRESTAR SERVICIOS PROFESIONALES COMO TRABAJADORA SOCIAL EN EL PROGRAMA DISCAPACIDAD PARA EL GOCE EFECTIVO DE SUS DERECHOS EN EL MUNICIPIO DE BUCARAMANGA
</t>
  </si>
  <si>
    <t>VIVIANA ANDREA PEREZ CHINCHILLA</t>
  </si>
  <si>
    <t>2.3.2.02.02.009.4104020.93411.501</t>
  </si>
  <si>
    <t>SDS-SDS-CPS-492-2023</t>
  </si>
  <si>
    <t>1005163790</t>
  </si>
  <si>
    <t>SDS-SDS-CPS-487-2023</t>
  </si>
  <si>
    <t>PRESTAR SERVICIOS DE APOYO A LA TERRITORIALIZACIÓN DE OFERTA EN EL SECTOR RURAL CON EL PROGRAMA DEL CAMPO ADSCRITO A LA SECRETARIA DE DESARROLLO SOCIAL DEL MUNICIPIO DE BUCARAMANGA.</t>
  </si>
  <si>
    <t>SDS-SDS-CPS-499-2023</t>
  </si>
  <si>
    <t>SDS-SDS-CPS-483-2023</t>
  </si>
  <si>
    <t xml:space="preserve">PRESTAR SERVICIO DE APOYO A LA GESTIÓN A LOS ORGANISMOS COMUNALES DE SEGUNDO GRADO Y LA ASOCIACIONES DE MIEMBROS DE JUNTAS ADMINISTRADORAS LOCALES EN LA ATENCIÓN Y ORIENTACIÓN DE USUARIOS DENTRO DEL PROGRAMA DE INSTITUCIONES DEMOCRÁTICAS Y CIUDADANÍA PARTICIPATIVA ASÍ COMO EN LA LOGÍSTICA PARA LA SOCIALIZACIÓN DE LOS PROGRAMAS SOCIALES DE LA SECRETARIA DE DESARROLLO SOCIAL DEL MUNICIPIO DE BUCARAMANGA.
</t>
  </si>
  <si>
    <t>SDS-SDS-CPS-497-2023</t>
  </si>
  <si>
    <t>SDS-SDS-CPS-486-2023</t>
  </si>
  <si>
    <t>SDS-SDS-CPS-494-2023</t>
  </si>
  <si>
    <t>SDS-SDS-CPS-480-2023</t>
  </si>
  <si>
    <t xml:space="preserve">PRESTAR SERVICIOS DE APOYO A LA GESTIÓN EN LA ATENCIÓN Y ORIENTACIÓN AL CIUDADANO EN LAS ÁGORAS PARA LA SOCIALIZACIÓN DE LOS PROGRAMAS SOCIALES DE LA SECRETARIA DE DESARROLLO SOCIAL DEL MUNICIPIO DE BUCARAMANGA.
</t>
  </si>
  <si>
    <t>SDS-SDS-CPS-479-2023</t>
  </si>
  <si>
    <t>SDS-SDS-CPS-481-2023-2</t>
  </si>
  <si>
    <t xml:space="preserve">PRESTAR APOYO EN LA GESTIÓN DE ALIANZAS INSTITUCIONALES E IMPLEMENTACIÓN DE ESTRATEGIAS PARA FORTALECER CAPACIDADES Y COMPETENCIAS VINCULADAS A LA PRODUCTIVIDAD EN LOS GRUPOS DE POBLACIÓN VULNERABLES DE LOS DIFERENTES PROGRAMAS Y METAS DE LA SECRETARIA DE DESARROLLO SOCIAL DEL MUNICIPIO DE BUCARAMANGA
</t>
  </si>
  <si>
    <t>SDS-SDS-CPS-478-2023</t>
  </si>
  <si>
    <t>PRESTAR SERVICIOS COMO APOYO A LA GESTIÓN LOGÍSTICA Y ADMINISTRATIVA PARA LA REALIZACIÓN DE ACTIVIDADES CON EL PROPÓSITO DE TERRITORIALIZAR LA OFERTA INSTITUCIONAL DE LA SECRETARÍA DE DESARROLLO SOCIAL.</t>
  </si>
  <si>
    <t>SDS-SDS-CPS-460-2023</t>
  </si>
  <si>
    <t xml:space="preserve">BRINDAR A LA COMUNIDAD ACCESOS GRATUITOS A ESPACIOS CULTURALES COMO SON EVENTO GEEK Y EXPERIENCIA INMERSIVA VANGOGH ENFOCADOS EN LA PROMOCIÓN Y FORTALECIMIENTO DE ESCENARIOS DE PARTICIPACIÓN CIUDADANA TANTO DE LA NIÑES, LA ADOLESCENCIA, LA JUVENTUD Y LA FAMILIA, A FIN DE FOMENTAR LA INCLUSIÓN, GENERAR OPORTUNIDADES EDUCATIVAS Y CREAR ESPACIOS SEGUROS LIBRES DE ESTIGMATIZACIÓN.
</t>
  </si>
  <si>
    <t>2.3.2.02.02.009.4102043.91124.501</t>
  </si>
  <si>
    <t>SDS-SDS-CI-007-2023</t>
  </si>
  <si>
    <t>PRESTAR SERVICIOS DE TURISMO Y RECREACIÓN PARA LAS PERSONAS MAYORES DE LOS CENTROS VIDA PARA PROMOVER LAS ACTIVIDADES FÍSICAS Y DE RECREACIÓN EN EL MARCO DE UN ENVEJECIMIENTO ACTIVO Y SALUDABLE</t>
  </si>
  <si>
    <t>CORPORACIÓN PARQUE NACIONAL DEL CHICAMOCHA</t>
  </si>
  <si>
    <t>2.3.2.02.02.009.4104008.91124.201</t>
  </si>
  <si>
    <t>SDS-SDS-CI-008-2023</t>
  </si>
  <si>
    <t>804017696</t>
  </si>
  <si>
    <t>2.3.2.02.02.009.4104008.91124.501</t>
  </si>
  <si>
    <t xml:space="preserve">PAGO DE SERVICIO PÚBLICO DE ENERGÍA ELÉCTRICA DE CASA BÚHO POR EL PERIODO DE MAYO 01 AL 31 DEL 2023, SEGUN FACTURA NO 208044838
</t>
  </si>
  <si>
    <t>PAGO DE SERVICIO DE ENERGÍA ELÉCTRICA DE LAS AGORAS SAN MIGUEL,BUCARAMANGA, GAITAN Y BELLAVISTA CORRESPONDIENTE AL PERIODO DE MAYO 01 HASTA MAYO 31 DEL 2023,SEGÚN FACTURA NO 208044878-208043577-208044787-208044767-208043679</t>
  </si>
  <si>
    <t>PAGO DE SERVICIO PÚBLICO DE ENERGÍA ELÉCTRICA DE LOS CENTROS VIDAS AÑOS MARAVILLOSOS, ALVAREZ, KENNEDY POR EL PERIODO COMPRENDIDO DE MAYO 01 AL 31 DEL 2023, SEGÚN FACTURAS DE SERVICIOS NO 208043670-208043425-208042455.</t>
  </si>
  <si>
    <t xml:space="preserve">PRESTAR SERVICIOS PROFESIONALES EN TRABAJO SOCIAL PARA APOYAR INICIATIVAS ORIENTADAS A LA PREVENCIÓN DE VIOLENCIAS CONTRA NIÑOS Y NIÑAS, LA GENERACIÓN DE ENTORNOS PROTECTORES Y LA ACTIVACIÓN DE RUTAS EN EL MARCO DE LOS PROGRAMAS PRIMERA INFANCIA, EL CENTRO DE LA SOCIEDAD; CRECE CONMIGO: UNA INFANCIA FELIZ Y CONSTRUCCIÓN DE ENTORNOS PARA UNA ADOLESCENCIA SANA EN LA SECRETARIA DE DESARROLLO SOCIAL DEL MUNICIPIO DE BUCARAMANGA.
</t>
  </si>
  <si>
    <t>SDS-SDS-CPS-495-2023</t>
  </si>
  <si>
    <t>PRESTAR SERVICIOS PROFESIONALES COMO ABOGADO(A) PARA LA IMPLEMENTACIÓN DE ACCIONES ORIENTADAS A LA GARANTÍA DE DERECHOS DE NIÑOS(AS) Y LA PUESTA EN FUNCIONAMIENTO DE LA CASA BÚHO, EL MARCO DE LOS PROGRAMAS PRIMERA INFANCIA, EL CENTRO DE LA SOCIEDAD; CRECE CONMIGO: UNA INFANCIA FELIZ Y DE LA SECRETARIA DE DESARROLLO SOCIAL DEL MUNICIPIO DE BUCARAMANGA.</t>
  </si>
  <si>
    <t>SDS-SDS-CPS-489-2023</t>
  </si>
  <si>
    <t>SDS-SDS-CPS-490-2023</t>
  </si>
  <si>
    <t>SDS-SDS-CPS-498-2023</t>
  </si>
  <si>
    <t>PRESTAR SERVICIOS PROFESIONALES EN PSICOLOGÍA PARA APOYAR LA EJECUCIÓN DE ESTRATEGIAS ORIENTADAS AL FOMENTO DE LA PARTICIPACIÓN Y LIDERAZGO DE NIÑOS, NIÑAS Y ADOLESCENTES Y LA PREVENCIÓN DE VIOLENCIAS EN ADOLESCENTES IMPLEMENTADAS POR LA SECRETARÍA DE DESARROLLO SOCIAL DE BUCARAMANGA</t>
  </si>
  <si>
    <t>SDS-SDS-CPS-488-2023</t>
  </si>
  <si>
    <t>SDS-SDS-CPS-496-2023</t>
  </si>
  <si>
    <t>PRESTAR SERVICIOS PROFESIONALES EN ARTES PLÁSTICAS PARA APOYAR LA IMPLEMENTACIÓN DE LOS PROGRAMAS.CRECE CONMIGO: UNA INFANCIA FELIZ; CONSTRUCCIÓN DE ENTORNOS PARA UNA ADOLESCENCIA SANA Y ESTRATEGIA DE PREVENCIÓN DE VIOLENCIAS EN ADOLESCENTES DE LA SECRETARIA DE DESARROLLO SOCIAL.</t>
  </si>
  <si>
    <t>SDS-SDS-CPS-500-2023</t>
  </si>
  <si>
    <t>SDS-SDS-CPS-493-2023</t>
  </si>
  <si>
    <t>SDS-SDS-CPS-501-2023</t>
  </si>
  <si>
    <t xml:space="preserve">PRESTAR SERVICIOS DE APOYO A LA GESTIÓN PARA APOYAR LA OPERATIVIDAD ADMINISTRATIVA DEL PROGRAMA “COLOMBIA MAYOR” Y EL PROGRAMA ADULTO MAYOR Y DIGNO ADSCRITO A LA SECRETARIA DE DESARROLLO SOCIAL.
</t>
  </si>
  <si>
    <t>SDS-SDS-CPS-502-2023</t>
  </si>
  <si>
    <t xml:space="preserve">PRESTAR SERVICIOS COMO APOYO EN LA GESTIÓN LOGÍSTICA Y ADMINISTRATIVA PARA LA REALIZACIÓN DE ACTIVIDADES CON EL PROPÓSITO DE TERRITORIALIZAR LA OFERTA INSTITUCIONAL DE LA SECRETARÍA DE DESARROLLO SOCIAL
</t>
  </si>
  <si>
    <t>SDS-SDS-CPS-507-2023</t>
  </si>
  <si>
    <t>SDS-SDS-CPS-505-2023</t>
  </si>
  <si>
    <t>SDS-SDS-CPS-504-2023</t>
  </si>
  <si>
    <t>SDS-SDS-CPS-503-2023</t>
  </si>
  <si>
    <t>SDS-SDS-CPS-506-2023</t>
  </si>
  <si>
    <t>SDS-SDS-CPS-491-2023</t>
  </si>
  <si>
    <t>PRESTAR SERVICIOS PROFESIONALES EN PSICOLOGÍA PARA LA IMPLEMENTACIÓN DE INICIATIVAS ORIENTADAS A LA PREVENCIÓN DE FACTORES DE RIESGO Y FORTALECIMIENTO DE PROYECTO DE VIDA QUE SE IMPLEMENTEN EN EL MARCO DE LOS PROGRAMAS INFANCIA Y ADOLESCENCIA DE LA SECRETARÍA DE DESARROLLO SOCIAL</t>
  </si>
  <si>
    <t>SARY YELITZA GALVIS CELIS</t>
  </si>
  <si>
    <t>SDS-SDS-CPS-510-2023</t>
  </si>
  <si>
    <t>1098773995</t>
  </si>
  <si>
    <t xml:space="preserve">PRESTAR SERVICIOS PROFESIONALES APOYANDO EL DESARROLLO DE ACTIVIDADES EN MÚSICA DIRIGIDA A LAS PERSONAS MAYORES EN CONDICIÓN DE VULNERABILIDAD Y/O ADSCRITAS A LOS CENTROS VIDA DEL MUNICIPIO.
</t>
  </si>
  <si>
    <t>SDS-SDS-CPS-509-2023</t>
  </si>
  <si>
    <t xml:space="preserve">PRESTAR SERVICIOS PROFESIONALES EN TRABAJO SOCIAL PARA LA IMPLEMENTACIÓN DE ESTRATEGIAS ORIENTADAS AL FOMENTO DE LA PARTICIPACIÓN Y LIDERAZGOS DE NIÑOS, NIÑAS Y ADOLESCENTES Y DE HABILIDADES PAR LA VIDA EN EL MARCO DE LOS PROGRAMAS CRECE CONMIGO: UNA INFANCIA FELIZ Y CONSTRUCCIÓN DE ENTORNOS PARA UNA ADOLESCENCIA SANA DE LA SECRETARIA DE DESARROLLO SOCIAL DEL MUNICIPIO DE BUCARAMANGA
</t>
  </si>
  <si>
    <t>YESICA FERNANDA PITA LIZARAZO</t>
  </si>
  <si>
    <t>SDS-SDS-CPS-508-2023</t>
  </si>
  <si>
    <t>1092385999</t>
  </si>
  <si>
    <t xml:space="preserve">PRESTAR SERVICIOS DE APOYO A LA GESTIÓN PARA EL DESARROLLO DE PROCESOS Y ACTIVIDADES ADMINISTRATIVAS DEL PROGRAMA ADULTO MAYOR Y DIGNO, ADSCRITO A LA SECRETARÍA DE DESARROLLO SOCIAL
</t>
  </si>
  <si>
    <t>NAZARIA TARAZONA  ANTELIZ</t>
  </si>
  <si>
    <t>SDS-SDS-CPS-511-2023</t>
  </si>
  <si>
    <t>63295350</t>
  </si>
  <si>
    <t>PRESTAR SERVICIO DE APOYO A LA GESTIÓN A LOS ORGANISMOS COMUNALES DE SEGUNDO GRADO Y LA ASOCIACIONES DE MIEMBROS DE JUNTAS ADMINISTRADORAS LOCALES EN LA ATENCIÓN Y ORIENTACIÓN DE USUARIOS DENTRO DEL PROGRAMA DE INSTITUCIONES DEMOCRÁTICAS Y CIUDADANÍA PARTICIPATIVA, ASÍ COMO EN LA LOGÍSTICA PARA LA SOCIALIZACIÓN DE LOS PROGRAMAS SOCIALES DE LA SECRETARÍA DE DESARROLLO SOCIAL DEL MUNICIPIO DE BUCARAMANGA.</t>
  </si>
  <si>
    <t>SANDRA LILIANA ESTEBAN NAVAS</t>
  </si>
  <si>
    <t>SDS-SDS-CPS-512-2023</t>
  </si>
  <si>
    <t>37861748</t>
  </si>
  <si>
    <t>JAVIER ALFONSO JAIMES BLANCO</t>
  </si>
  <si>
    <t>SDS-SDS-CPS-513-2023</t>
  </si>
  <si>
    <t>13717004</t>
  </si>
  <si>
    <t>PRESTAR SERVICIOS DE APOYO A LA GESTIÓN APOYANDO EL DESARROLLO DE ACTIVIDADES DE AUTOCUIDADO E HIGIENE EN LAS PERSONAS MAYORES EN CONDICIÓN DE VULNERABILIDAD Y/O ADSCRITAS A LOS CENTROS VIDA DEL MUNICIPIO DE BUCARAMANGA.</t>
  </si>
  <si>
    <t>BELSY CORREA CARRERO</t>
  </si>
  <si>
    <t>SDS-SDS-CPS-514-2023</t>
  </si>
  <si>
    <t>63362539</t>
  </si>
  <si>
    <t xml:space="preserve">ADICIÓN EN TIEMPO Y VALOR DEL CONVENIO DE ASOCIACIÓN NO 29 DEL 2023 CUYO OBJETO ES " BRINDAR ATENCIÓN INTEGRAL PARA LA POBLACIÓN EN RIESGO DE HABITAR EN LA CALLE, CON LA ALTA DEPENDENCIA FÍSICA, MENTAL O COGNITIVA
</t>
  </si>
  <si>
    <t>CONTRATOS Y CONVENIOS NO SOMETIDOS AL REGIMEN GENERAL DE LA CONTRATACION PUBLICA</t>
  </si>
  <si>
    <t>2.3.2.02.02.009.4104027.91119.501</t>
  </si>
  <si>
    <t>SERVICIO DE ATENCION INTEGRAL AL HABITANTE DE LA CALLE 501</t>
  </si>
  <si>
    <t xml:space="preserve">PRESTAR SERVICIOS PROFESIONALES ESPECIALIZADOS PARA LA COORDINACIÓN DE LOS CIRCUITOS DEL CUIDADO IMPLEMENTADOS POR LA SECRETARÍA DE DESARROLLO SOCIAL DEL MUNICIPIO DE BUCARAMANGA
</t>
  </si>
  <si>
    <t>ZULMA JUDITH ARENAS  GONZALEZ</t>
  </si>
  <si>
    <t>SDS-SDS-CPS-515-2023</t>
  </si>
  <si>
    <t>1098648327</t>
  </si>
  <si>
    <t xml:space="preserve">PRESTAR SERVICIOS PROFESIONALES PARA LA GESTIÓN Y DESARROLLO DE LAS ACTIVIDADES DEL PROGRAMA ADULTO MAYOR Y DIGNO ADSCRITO A LA SECRETARÍA DE DESARROLLO SOCIAL
</t>
  </si>
  <si>
    <t>MARIA CRISTINA YEPES TELLEZ</t>
  </si>
  <si>
    <t>SDS-SDS-CPS-516-2023</t>
  </si>
  <si>
    <t>1098711409</t>
  </si>
  <si>
    <t>PRESTAR SERVICIOS DE APOYO A LA GESTIÓN PARA GARANTIZAR LA OPERATIVIDAD ADMINISTRATIVA DEL PROGRAMA “COLOMBIA MAYOR” Y EL PROGRAMA DE ATENCION INTEGRAL A LAS PERSONAS MAYORES DEL MUNICIPIO DE BUCARAMANGA ADSCRITO A LA SECRETARÍA DE DESARROLLO SOCIAL.</t>
  </si>
  <si>
    <t>JEFERSON ARLEY SIERRA JAIMES</t>
  </si>
  <si>
    <t>SDS-SDS-CPS-520-2023</t>
  </si>
  <si>
    <t>1098742739</t>
  </si>
  <si>
    <t>PRESTAR SERVICIOS PROFESIONALES APOYANDO EL DESARROLLO DE ACTIVIDADES EN COMUNICACIÓN SOCIAL EN LA REDACCIÓN, PRODUCCIÓN Y EDICIÓN DE MATERIAL QUE SE DERIVE DE LA ATENCIÓN DE LA SECRETARIA DE DESARROLLO SOCIAL, EN ESPECIAL DE LA ATENCIÓN INTEGRAL DEL PROGRAMA ADULTO MAYOR Y DIGNO</t>
  </si>
  <si>
    <t>MARIA  ALEJANDRA VILLAMIZAR SARMIENTO</t>
  </si>
  <si>
    <t>SDS-SDS-CPS-517-2023</t>
  </si>
  <si>
    <t>1098787438</t>
  </si>
  <si>
    <t xml:space="preserve">PRESTAR SERVICIOS PROFESIONALES EN COMUNICACIÓN SOCIAL PARA APOYAR LA IMPLEMENTACIÓN DE ESTRATEGIAS ORIENTADAS A LA PROMOCION DEL BUEN TRATO Y LA COMUNICACIÓN AFECTIVA DE PADRES, MADRES Y CUIDADORES EN EL MARCO DE LOS PROGRAMAS DE PRIMERA INFANCIA, INFANCIA Y ADOLESCENCIA DE LA SECRETARÍA DE DESARROLLO SOCIAL
</t>
  </si>
  <si>
    <t>OMAIRA SARMIENTO SANTOS</t>
  </si>
  <si>
    <t>SDS-SDS-CPS-519-2023</t>
  </si>
  <si>
    <t>37891315</t>
  </si>
  <si>
    <t>PRESTAR SERVICIO DE TRANSPORTE TERRESTRE AUTOMOTOR ESPECIAL DE PASAJEROS EN EL MARCO DE LAS ACTIVIDADES MISIONALES DE LA SECRETARÍA DE DESARROLLO SOCIAL DEL MUNICIPIO DE BUCARAMANGA</t>
  </si>
  <si>
    <t>ADQUISICIÓN DE BIENES Y SERVICIOS DE CARACTERÍSTICAS TÉCNICAS UNIFORMES</t>
  </si>
  <si>
    <t>EMPRESA DE SERVICIO ESPECIAL DE TRANSPORTE MAMONAL S.A.S</t>
  </si>
  <si>
    <t>SDS-SDS-SASI-008-2023</t>
  </si>
  <si>
    <t>800113955</t>
  </si>
  <si>
    <t>2.3.2.02.02.006.4102038.64118.201</t>
  </si>
  <si>
    <t>2.3.2.02.02.006.4104008.64118.201</t>
  </si>
  <si>
    <t>SERVICIO DE ATENCION Y PROTECCION INTEGRAL AL ADULTO MAYOR .201</t>
  </si>
  <si>
    <t>2.3.2.02.02.009.4502038.64118.201</t>
  </si>
  <si>
    <t xml:space="preserve">PRESTAR SERVICIOS DE APOYO A LA GESTIÓN PARA EL DESARROLLO DE ACTIVIDADES QUE FOMENTEN EL BUEN USO DEL TIEMPO LIBRE EN LOS CENTROS VIDA DEL MUNICIPIO DE BUCARAMANGA
</t>
  </si>
  <si>
    <t>ANA PATRICIA ROMERO GARCIA</t>
  </si>
  <si>
    <t>SDS-SDS-CPS-518-2023</t>
  </si>
  <si>
    <t>63355054</t>
  </si>
  <si>
    <t>REBECA SANTOS SERRANO</t>
  </si>
  <si>
    <t>SDS-SDS-CPS-521-2023</t>
  </si>
  <si>
    <t>63341056</t>
  </si>
  <si>
    <t>PAGO DE SERVICIO DE TELEFONÍA MÓVIL DE LOS PROGRAMAS FORTALECIMIENTO DE LAS INSTITUCIONES DEMOCRÁTICAS Y CUIDADANA PARTICIPATIVA,ACELERADORES DE DESARROLLO SOCIAL,ADULTO MAYOR Y DIGNO POR EL PERIODO DE (26-MAYO DEL 2023 - HASTA EL 25 DE JUNIO DEL 2023) SEGÚN FACTURA ELECTRÓNICA DE VENTA NO E 5704577401</t>
  </si>
  <si>
    <t>PAGO SERVICIO DE INTERNET DE 13 ÁGORAS DE UBICADAS EN LOS SECTORES DE LIBERTAD,NORTE BAJO,BUCARAMANGA,VILLA PRADO,GRANJAS DE PROVENZA,DIAMANTE,GAITAN,JOYA,PORVENIR,EL ROCIÓ ,SAN MIGUEL,SANTANDER,KENNEDY PERIODO DE CONSUMO DE JULIO 01 HASTA JULIO 31 DEL 2023 FACTURAS NO R 1025799191 R 1025799207 R 1025842343 R 1025842356
R 1025842373 R 1025799178 R 1025783143 R 1025799219 R 1025799236 R 1025799250
R 1025799265 R 1025842314 R 1025842330</t>
  </si>
  <si>
    <t>PAGO DE SERVICIO DE INTERNET AGORA PROVENZA PERIODO: (JULIO 01 HASTA JULIO 31 DEL 2023 DEL 2023)SEGÚN REFERENCIA DE PAGO 9517198168-32 CONTRATO DE SERVICIO NO 19166503</t>
  </si>
  <si>
    <t>PAGO DE SERVICIO DE TELEFONÍA FIJA E INTERNET DEL CENTRO VIDA KENNEDDY POR EL PERIODO COMPRENDIDO DE JUNIO 01 HASTA JUNIO 30 DEL 2023 SEGÚN FACTURA NO TBCL-22794952</t>
  </si>
  <si>
    <t xml:space="preserve">PRESTAR SERVICIOS PROFESIONALES COMO MAGISTER EN PEDAGOGÍA PARA LA IMPLEMENTACIÓN Y DESARROLLO DE ESTRATEGIAS PEDAGÓGICAS EN TORNO AL PROYECTO BIBLIOTECAS HUMANAS ORIENTADAS A FOMENTAR EL DIALOGO, EL INTERCAMBIO DE EXPERIENCIAS Y LA RECUPERACIÓN DE LA MEMORIA LOCAL, EN EL MARCO DE LOS PROGRAMAS LGTBIQ, REDES SORORAS, INFANCIA CONSCIENTE Y PERSONA MAYOR DE LA SECRETARÍA DE DESARROLLO SOCIAL DE BUCARAMANGA
</t>
  </si>
  <si>
    <t>HEIDI  JOHANNA HERNANDEZ MARTINEZ</t>
  </si>
  <si>
    <t>SDS-SDS-CPS 522-2023</t>
  </si>
  <si>
    <t>52880089</t>
  </si>
  <si>
    <t xml:space="preserve">"AUNAR ESFUERZOS PARA REALIZAR JORNADAS DE CINEFORO COMUNITARIO PARA FORTALECER ESPACIOS DE INTEGRACIÓN EN EL MARCO DE ACTIVIDADES A DESARROLLAR OR LOS PROGRAMAS ADSCRITOS A LA SECRETARIA DE DESARROLLO SOCIAL DE BUCARAMANGA”
</t>
  </si>
  <si>
    <t>CONVENIOS DE ASOCIACIÓN LEY 489 DE 1998</t>
  </si>
  <si>
    <t>CORPORACIÓN EDUCATIVA, SOCIAL Y DE COMUNICACIONES PENSA LIBRE</t>
  </si>
  <si>
    <t>2.3.2.02.02.009.4103050.91124.201</t>
  </si>
  <si>
    <t>SDS-SDS-PC-003-2023-1</t>
  </si>
  <si>
    <t>804014892</t>
  </si>
  <si>
    <t>2.3.2.02.02.009.4102038.96150.201</t>
  </si>
  <si>
    <t>PAGO DE SERVICIO DE GAS NATURAL -CASA BÚHO SEGUN FACTURA NO F 18I11183279 PERIODO COMPRENDIDO MAYO 16 A JUNIO 14 DEL 2023</t>
  </si>
  <si>
    <t xml:space="preserve">PAGO DE SERVICIO PUBLICO DE GAS NATURAL DE LOS CENTROS VIDA AÑOS MARAVILLOSOS FACTURA NO F18I11183396 PERIODO COMPRENDIDO DE MAYO 16 DEL 2023 HASTA JUNIO 16 DEL 2023,, CENTRO VIDA ALVAREZ FACTURA NO F18I11183410 PERIODO COMPRENDIDO DE MAYO 17 DEL 2023 HASTA JUNIO 14 DEL 2023 Y FACTURA F18S-12174 CENTRO VIDA KENNEDY FACTURA NO F18I11183334 PERIODO COMPRENDIDO DE MAYO 15 DEL 2023 HASTA JUNIO 15 DEL  2023.
</t>
  </si>
  <si>
    <t>MELANIE EMELY LOPEZ RONDON</t>
  </si>
  <si>
    <t>SDS-SDS-CPS-524-2023</t>
  </si>
  <si>
    <t>1098824511</t>
  </si>
  <si>
    <t>CONTRATO DE PRESTACIÓN DE SERVICIO PROFESIONALES Y DE APOYO A LA GESTIÓN O PARA EJECUCIÓN DE TRABAJO ARTÍSTICOS QUE SOLO PUEDAN ENCOMENDARSE A DETERMINADAS PERSONAS</t>
  </si>
  <si>
    <t>SDS-SDS-CPS-525-2023</t>
  </si>
  <si>
    <t>PRESTAR LOS SERVICIOS DE APOYO LOGÍSTICO A LOS MERCADILLO CAMPESINOS YA LOS DIFERENTES PROGRAMAS DE LA SECRETARIA DE DESARROLLO SOCIAL DEL MUNICIPIO DE BUCARAMANGA</t>
  </si>
  <si>
    <t>RAIMUNDO RODRIGUEZ FLOREZ</t>
  </si>
  <si>
    <t>SDS-SDS-CPS-526-2023</t>
  </si>
  <si>
    <t>91251767</t>
  </si>
  <si>
    <t xml:space="preserve">PAGO DE RIESGOS PROFESIONALES A 118 EDILES DEL MUNICIPIO DE BUCARAMANGA POR EL PERIODO DE JULIO 01 AL 31 DEL 2023
</t>
  </si>
  <si>
    <t xml:space="preserve">PAGO DE SEGURIDAD SOCIAL A 118 EDILES DEL MUNICIPIO DE BUCARAMANGA POR EL PERIODO DE JULIO 01 AL 31 DEL 2023
</t>
  </si>
  <si>
    <t>PAGO DE SEGURIDAD SOCIAL A 118 EDILES DEL MUNICIPIO DE BUCARAMANGA POR EL PERIODO DE JULIO 01 AL 31 DEL 2023</t>
  </si>
  <si>
    <t>SDS-SDS-CPS-527-2023</t>
  </si>
  <si>
    <t>PRESTAR SERVICIOS DE APOYO A LA GESTIÓN ORIENTADOS AL PROCESO DE CONSTRUCCIÓN DE MEMORIA HISTÓRICA DE LA POBLACIÓN SEXUALMENTE DIVERSA DE BUCARAMANGA EN EL MARCO DE LA IMPLEMENTACIÓN DE LA POLÍTICA PÚBLICA LGBTIQ</t>
  </si>
  <si>
    <t>CRISTIAN HERNANDO TORRES POVEDA</t>
  </si>
  <si>
    <t>SDS-SDS-CPS-528-2023</t>
  </si>
  <si>
    <t>1095826826</t>
  </si>
  <si>
    <t>WILMER JULIAN FLOREZ BLANCO</t>
  </si>
  <si>
    <t>SDS-SDS-CPS-529-2023</t>
  </si>
  <si>
    <t>1098785617</t>
  </si>
  <si>
    <t>OTROSÍ AL CONTRATO N°032-2023 CUYO OBJETO ES SERVICIO EXEQUIAL DIRIGIDA A (I) NIÑOS, NIÑAS Y ADOLESCENTES, (II) PERSONAS MAYORES, (III) POBLACIÓN HABITANTE DE CALLE, EN SITUACIÓN DE VULNERABILIDAD, POBREZA O EXTREMA POBREZA, ENTRE OTRAS, E INHUMACIÓN Y EXHUMACIÓN DE CADÁVERES NO IDENTIFICADOS (N.N.) O NO RECLAMADOS DEL MUNICIPIO DE BUCARAMANGA. - LOTE 1 - DESARROLLO SOCIAL</t>
  </si>
  <si>
    <t>2.3.2.02.02.009.4104008.97321.501</t>
  </si>
  <si>
    <t>2.3.2.02.02.009.4104027.97321.501</t>
  </si>
  <si>
    <t xml:space="preserve">PAGO DE SERVICIO DE ACUEDUCTO, ALCANTARILLADO Y ASEO POR EL PERIODO DE MAYO 01 HASTA MAYO 31 DEL 2023 DE LOS CENTROS VIDA KENNEDY-ALVAREZ Y AÑOS MARAVILLOSOS,SEGÚN FACTURAS DE SERVICIO NO 0456102 - 0408412 - 0417386
</t>
  </si>
  <si>
    <t xml:space="preserve">PAGO DE SERVICIO DE ACUEDUCTO ALCANTARILLADO Y ASEO DE CASA BÚHO, POR EL PERIODO DE MAYO 01 AL 31 DEL 2023 SEGUN FACTURA DE SERVICIO NO 0385947
</t>
  </si>
  <si>
    <t xml:space="preserve">AUNAR ESFUERZOS PARA BRINDAR PROCESOS DE FORMACIÓN NO FORMAL PARA EL DESARROLLO Y FORTALECIMIENTO DE CAPACIDADES EN LIDERAZGO Y PARTICIPACIÓN POLÍTICA EN MUJERES Y JÓVENES DEL MUNICIPIO DEL MUNICIPIO DE BUCARAMANGA
</t>
  </si>
  <si>
    <t>UNIVERSIDAD AUTONOMA DE BUCARAMANGA</t>
  </si>
  <si>
    <t>SDS-SDS-PC-002-2023</t>
  </si>
  <si>
    <t>890200499</t>
  </si>
  <si>
    <t xml:space="preserve">PRESTACIÓN DE SERVICIOS PARA LLEVAR A CABO LOS DOS CICLOS DE VACUNACIÓN CONTRA LA FIEBRE AFTOSA Y BRUCELOSIS BOVINA PARA EL AÑO 2023 EN EL MUNICIPIO DE BUCARAMANGA – SANTANDER.
</t>
  </si>
  <si>
    <t>FEDERACION DE GANADEROS DE SANTANDER Y SUS ZONAS DE INFLUENCIA – FEDEGASAN</t>
  </si>
  <si>
    <t>2.3.2.02.01.000.1707042.3526201.201</t>
  </si>
  <si>
    <t>SERVICIOS DE VACUNACION PARA ESPECIES ANIMALES DE INTERES AGROPECUARIO 201</t>
  </si>
  <si>
    <t>890200366</t>
  </si>
  <si>
    <t xml:space="preserve">PAGO DE SERVICIO DE ACUEDUCTO,ALCANTARILLADO Y ASEO POR EL PERIODO DE MARZO 01 AL 31 DEL 2023 DE LAS ÁGORAS LA FERIA- BUCARAMANGA - SAN MIGUEL- NORTE BAJO-BUCARAMANGA SEGÚN FACTURAS DE SERVICIOS NO PAGO DE SERVICIO DE ACUEDUCTO,ALCANTARILLADO Y ASEO POR EL PERIODO DE MAYO 01 HASTA MAYO 31 DEL 2023 DE LAS ÁGORAS LA FERIA- BUCARAMANGA - SAN MIGUEL- NORTE BAJO-BUCARAMANGA SEGÚN FACTURAS DE SERVICIOS NO 0493538- 0427050-0415538-0443584
</t>
  </si>
  <si>
    <t>PAGO DE SERVICIO DE INTERNET DE LAS ÁGORAS (CAFÉ MADRID ,SAN CRISTOBAL,ESPERANZA,CENTRO,FERIA,MONTERREDOND,MIRAMAR,NUEVA COLOMBIA,REGADERO,CORDONCILLO)PERIODO: PERIODO: JUNIO 23 DEL 2023 HASTA JULIO 18 DEL 2023 Y JULIO 18 DEL 2023 HASTA AGOSTO 18 DEL 2023 FACTURA NO BCPT BCPT24074426</t>
  </si>
  <si>
    <t xml:space="preserve">PAGO DE SERVICIO DE INTERNET DE LOS PROGRAMAS PROGRAMA MUJER Y EQUIDAD DE GENERO CARRERA 34 NO 35-39 BARRIO ALVAREZ(CENTRO INTEGRAL DE LA MUJER) PROGRAMA ADULTO MAYOR DIAGONAL 14 NO 56-02 BARRIO GOMEZ NIÑO (CENTRO VIDA AÑOS MARAVILLOSOS) PROGRAMA ADULTO MAYOR CALLE 33 NO 40-18 BARRIO ALVAREZ (CENTRO VIDA ALVAREZ) PROGRAMA HABITANTE DE CALLE CALLE 30 NO 17-74 BARRIO CENTRO POR EL PERIODO JULIO 01 HASTA JULIO 30 DEL 2023 SEGÚN FACTURA DE SERVICIO NO 3 - 291291902
</t>
  </si>
  <si>
    <t xml:space="preserve">PRESTAR SERVICIOS PROFESIONALES EN PSICOLOGÍA PARA LA IMPLEMENTACIÓN DE ESTRATEGIAS ORIENTADAS A LA PREVENCIÓN DE FACTORES DE RIESGO EN NIÑOS, NIÑAS Y ADOLESCENTES QUE SE IMPLEMENTEN EN EL MARCO DE LOS PROGRAMAS DE PRIMERA INFANCIA, INFANCIA Y ADOLESCENCIA DE LA SECRETARÍA DE DESARROLLO SOCIAL
</t>
  </si>
  <si>
    <t>INGRID KATHERINE COLLAZOS LOPEZ</t>
  </si>
  <si>
    <t>SDS-SDS-CPS-523-2023</t>
  </si>
  <si>
    <t>1098791623</t>
  </si>
  <si>
    <t xml:space="preserve">PRESTAR SERVICIOS PROFESIONALES PARA EL DESARROLLO DE ACTIVIDADES ARTÍSTICAS EN LAS PERSONAS MAYORES EN CONDICIÓN DE VULNERABILIDAD Y/O ADSCRITAS EN LOS CENTROS VIDA DEL MUNICIPIO DE BUCARAMANGA.
</t>
  </si>
  <si>
    <t>SDS-SDS-CPS-530-2023</t>
  </si>
  <si>
    <t xml:space="preserve">PRESTAR SERVICIOS COMO OPERADOR TURÍSTICO PARA LA ASISTENCIA Y PARTICIPACIÓN DE LA ASOCIACIÓN MUNICIPAL DE JUNTAS ADMINISTRADORAS LOCALES Y CORREGIMIENTOS DE BUCARAMANGA-ASOMIJALCO EN EL XVI CONGRESO NACIONAL DE EDILES MED2023 “EDILES FUTURO” Y LA ASOCIACIÓN DE EDILES DE BUCARAMANGA-ASOEDILES EN EL VII CONGRESO NACIONAL DE JUNTAS ADMINISTRADORAS LOCALES DE COLOMBIA “NEIVA, TERRITORIO DE VIDA Y PAZ
</t>
  </si>
  <si>
    <t>LOGISTICA Y GESTION DE NEGOCIOS SAS</t>
  </si>
  <si>
    <t>SDS-SDS-MC-011-2023</t>
  </si>
  <si>
    <t>900582854</t>
  </si>
  <si>
    <t xml:space="preserve">PAGO DE SERVICIO PÚBLICO DE ENERGÍA ELÉCTRICA DE LOS CENTROS VIDAS AÑOS MARAVILLOSOS, ALVAREZ, KENNEDY POR EL PERIODO COMPRENDIDO DE JUNIO 01 AL 30 DEL 2023, SEGÚN FACTURAS DE SERVICIOS NO 209122921 - 209124967 - 209124967.
</t>
  </si>
  <si>
    <t xml:space="preserve">PAGO DE SERVICIO DE ENERGÍA ELÉCTRICA DE LAS ÁGORAS SAN MIGUEL, GAITAN ,LA FERIA,BUCARAMANGA, Y BUENAVISTA CORRESPONDIENTE AL PERIODO DE JUNIO 01 HASTA JUNIO 30 DEL 2023,SEGÚN FACTURA NO 209122930 - 209122930 - 209122634 - 209125123- 209125031
</t>
  </si>
  <si>
    <t xml:space="preserve">PAGO DE SERVICIO PÚBLICO DE ENERGÍA ELÉCTRICA DE CASA BÚHO POR EL PERIODO DE JUNIO 01 AL 30 DEL 2023, SEGUN FACTURA NO 209124990
</t>
  </si>
  <si>
    <t xml:space="preserve">REALIZAR EL PROCESO DE HABILITACIÓN Y REHABILITACIÓN DE NIÑOS, NIÑAS, ADOLESCENTES, JÓVENES Y ADULTOS CON DISCAPACIDAD DEL SECTOR URBANO Y RURAL DEL MUNICIPIO DE BUCARAMANGA A TRAVÉS DE LA ESTRATEGIA DE REHABILITACIÓN BASADA EN COMUNIDAD –RBC-
</t>
  </si>
  <si>
    <t>SDS-SDS-CA-021-2023-01</t>
  </si>
  <si>
    <t xml:space="preserve">REALIZAR EL PROCESO DE HABILITACIÓN Y REHABILITACIÓN INTEGRAL DIRIGIDO A NIÑOS, NIÑAS Y ADOLESCENTES CON DISCAPACIDAD FÍSICA, INTELECTUAL Y MÚLTIPLE DEL MUNICIPIO DE BUCARAMANGA, A TRAVÉS DEL ARTE, CULTURA Y DEPORTE ADAPTADO CON EL FIN DE MEJORAR SU CALIDAD DE VIDA Y PROPENDER POR SU FUNCIONALIDAD, INDEPENDENCIA E INCLUSIÓN SOCIAL
</t>
  </si>
  <si>
    <t>SDS-SDS-CA-023-2023</t>
  </si>
  <si>
    <t xml:space="preserve">REALIZAR EL PROCESO DE HABILITACIÓN Y REHABILITACIÓN INTEGRAL DIRIGIDO A NIÑOS, NIÑAS Y ADOLESCENTES CON DISCAPACIDAD INTELECTUAL Y MÚLTIPLE DEL MUNICIPIO DE BUCARAMANGA, CON EL FIN DE MEJORAR SU CALIDAD DE VIDA Y PROPENDER POR LA FUNCIONALIDAD, INDEPENDENCIA E INCLUSIÓN SOCIAL
</t>
  </si>
  <si>
    <t>SDS-SDS-CA-024-2023</t>
  </si>
  <si>
    <t xml:space="preserve">REALIZAR EL PROCESO DE HABILITACIÓN Y REHABILITACIÓN INTEGRAL A NIÑOS, NIÑAS Y ADOLESCENTES CON DISCAPACIDAD MÚLTIPLE, INTELECTUAL Y DEL TRASTORNO DEL ESPECTRO AUTISTA DEL MUNICIPIO DE BUCARAMANGA A TRAVÉS DE LA NEUROREHABILITACIÓN, HABILITACIÓN PSICOMOTRIZ, COGNITIVA Y ENFOQUE TERAPÉUTICO ABA; CON EL FIN DE MEJORAR SU CALIDAD DE VIDA Y PROPENDER POR SU FUNCIONALIDAD, INDEPENDENCIA E INCLUSIÓN SOCIAL
</t>
  </si>
  <si>
    <t>SDS-SDS-CA-022-2023</t>
  </si>
  <si>
    <t xml:space="preserve">PRESTAR SERVICIOS DE APOYO A LA GESTIÓN EN LA EJECUCIÓN DE LAS ESTRATEGIAS DEL PROGRAMA MUJER Y EQUIDAD EN EL MARCO DE LA IMPLEMENTACIÓN DE LA POLÍTICA PÚBLICA PARA EL DISFRUTE DE CIUDAD, DERECHO A UNA VIDA LIBRE DE VIOLENCIAS E IGUALDAD DE OPORTUNIDADES PARA LAS MUJERES DEL MUNICIPIO DE BUCARAMANGA
</t>
  </si>
  <si>
    <t>JUAN PABLO URIBE MARQUEZ</t>
  </si>
  <si>
    <t>SDS-SDS-CPS-531-2023</t>
  </si>
  <si>
    <t>1095951159</t>
  </si>
  <si>
    <t xml:space="preserve">OTRO SI ADICIONAL N°02 AL CONVENIO 032-2023 CUYO OBJETO ES SERVICIO EXEQUIAL DIRIGIDA A (I) NIÑOS, NIÑAS Y ADOLESCENTES, (II) PERSONAS MAYORES, (III) POBLACIÓN HABITANTE DE CALLE, EN SITUACIÓN DE VULNERABILIDAD, POBREZA O EXTREMA POBREZA, ENTRE OTRAS, E INHUMACIÓN Y EXHUMACIÓN DE CADÁVERES NO IDENTIFICADOS (N.N.) O NO RECLAMADOS DEL MUNICIPIO DE BUCARAMANGA. - LOTE 1 - DESARROLLO SOCIAL
</t>
  </si>
  <si>
    <t xml:space="preserve">PAGO DE RIESGOS PROFESIONALES A 118 EDILES DEL MUNICIPIO DE BUCARAMANGA POR EL PERIODO DE AGOSTO 01 AL 31 DEL 2023
</t>
  </si>
  <si>
    <t xml:space="preserve">PAGO DE SEGURIDAD SOCIAL A 118 EDILES DEL MUNICIPIO DE BUCARAMANGA POR EL PERIODO DE AGOSTO 01 AL 31 DEL 2023
</t>
  </si>
  <si>
    <t>PAGO DE SEGURIDAD SOCIAL A 118 EDILES DEL MUNICIPIO DE BUCARAMANGA POR EL PERIODO DE AGOSTO 01 AL 31 DEL 2023</t>
  </si>
  <si>
    <t>PAGO DE SERVICIO PUBLICO DE GAS NATURAL DE LOS CENTROS VIDA AÑOS MARAVILLOSOS FACTURA NO F18I11545734 PERIODO COMPRENDIDO DE JUNIO 16 HASTA JULIO 18 DEL 2023, CENTRO VIDA ALVAREZ FACTURA NO F18I11545748 PERIODO COMPRENDIDO DE JUNIO 14 HASTA JULIO 17 DEL 2023 Y CENTRO VIDA KENNEDY F18I11545672 PERIODO COMPRENDIDO DE JUNIO 15 HASTA JULIO 18 DEL 2023</t>
  </si>
  <si>
    <t xml:space="preserve">PAGO DE SERVICIO DE GAS NATURAL -CASA BÚHO SEGUN FACTURA NO F 18I11545612 PERIODO COMPRENDIDO JUNIO 14 HASTA JULIO 17 DEL 2023
</t>
  </si>
  <si>
    <t>PAGO DE SERVICIO DE INTERNET DE LOS PROGRAMAS PROGRAMA MUJER Y EQUIDAD DE GENERO CARRERA 34 NO 35-39 BARRIO ALVAREZ(CENTRO INTEGRAL DE LA MUJER) PROGRAMA ADULTO MAYOR DIAGONAL 14 NO 56-02 BARRIO GOMEZ NIÑO (CENTRO VIDA AÑOS MARAVILLOSOS) PROGRAMA ADULTO MAYOR CALLE 33 NO 40-18 BARRIO ALVAREZ (CENTRO VIDA ALVAREZ) PROGRAMA HABITANTE DE CALLE CALLE 30 NO 17-74 BARRIO CENTRO POR EL PERIODO AGOSTO 01 HASTA AGOSTO 31 DEL 2023 SEGÚN FACTURA DE SERVICIO NO 3 - 291335918</t>
  </si>
  <si>
    <t xml:space="preserve">PAGO SERVICIO DE INTERNET DE 13 ÁGORAS DE UBICADAS EN LOS SECTORES DE LIBERTAD,NORTE BAJO,BUCARAMANGA,VILLA PRADO,GRANJAS DE PROVENZA,DIAMANTE,GAITAN,JOYA,PORVENIR,EL ROCIO ,SAN MIGUEL,SANTANDER,KENNEDY PERIODO DE CONSUMO DE AGOSTO 01 HASTA AGOSTO 31 DEL 2023 FACTURAS NO R 1029265895 R 1029265911 R 1029307407 R 1029307422 R 1029307432 R 1029265882 R 1029307401 R 1029265959 R 1029265949 R 1029307389 R 1029265921 R 1029265936 R 1029247247
</t>
  </si>
  <si>
    <t xml:space="preserve">PAGO DE SERVICIO DE TELEFONÍA MÓVIL DE LOS PROGRAMAS FORTALECIMIENTO DE LAS INSTITUCIONES DEMOCRÁTICAS Y CUIDADANA PARTICIPATIVA,ACELERADORES DE DESARROLLO SOCIAL,ADULTO MAYOR Y DIGNO POR EL PERIODO DE (26-JUNIO DEL 2023 - HASTA EL 25 DE JULIO DEL 2023) SEGÚN FACTURA ELECTRÓNICA DE VENTA NO E 5714526910
</t>
  </si>
  <si>
    <t xml:space="preserve">PAGO DE SERVICIO DE TELEFONÍA FIJA E INTERNET DEL CENTRO VIDA KENNEDDY POR EL PERIODO COMPRENDIDO DE JULIO 01 HASTA JULIO 31 DEL 2023 SEGÚN FACTURA NO TBCL-22866799
</t>
  </si>
  <si>
    <t xml:space="preserve">ADICIONAL EN TIEMPO Y VALOR NO. 01 AL CONVENIO DE ASOCIACIÓN NO 48 DEL 2023 CUYO OBJETO ES AUNAR ESFUERZOS PARA LA ASISTENCIA Y ATENCIÓN INTEGRAL DE LAS PERSONAS MAYORES EN CONDICIONES DE VULNERABILIDAD A TRAVÉS DEL DESARROLLO DE LOS PROGRAMAS CENTRO VIDA Y CENTRO DE BIENESTAR
</t>
  </si>
  <si>
    <t>2.3.2.02.02.009.4104008.93491.520</t>
  </si>
  <si>
    <t>SERVICIO DE ATENCION Y PROTECCION INTEGRAL AL ADULTO MAYOR ESTAMPILLA MUNICIPAL 520 80%</t>
  </si>
  <si>
    <t>2.3.2.02.02.009.4104008.93304.520</t>
  </si>
  <si>
    <t>SERVICIO DE ATENCION Y PROTECCION INTEGRAL AL ADULTO MAYOR ESTAMPILLA MUNMICIPAL 520 80%</t>
  </si>
  <si>
    <t xml:space="preserve">PAGO DE SERVICIO DE INTERNET AGORA PROVENZA PERIODO: (AGOSTO 01 HASTA AGOSTO 31 DEL 2023 DEL 2023)SEGÚN REFERENCIA DE PAGO 9519273702-12 CONTRATO DE SERVICIO NO 19166503
</t>
  </si>
  <si>
    <t xml:space="preserve">ADICIONAL EN TIEMPO Y VALOR NO. 01 AL CONVENIO DE ASOCIACIÓN NO 50 DEL 2023 CUYO OBJETO ES AUNAR ESFUERZOS PARA LA ASISTENCIA Y ATENCIÓN INTEGRAL DE LAS PERSONAS MAYORES EN CONDICIONES DE VULNERABILIDAD A TRAVÉS DEL DESARROLLO DE LOS PROGRAMAS CENTRO VIDA Y CENTRO DE BIENESTAR
</t>
  </si>
  <si>
    <t>ASILO DE ANCIANOS SAN ANTONIO DE LA CONGREGACIÓN DE LAS HERMANITAS DE LOS ANCIAN</t>
  </si>
  <si>
    <t>SERVICIO DE ATENCION Y PROTECCION INTEGRAL ESTAMPILLA PARA EL BIENESTAR DEL ADULTO MAYOR MUNICIPAL 220 80%</t>
  </si>
  <si>
    <t xml:space="preserve">ADICIONAL EN TIEMPO Y VALOR NO. 01 AL CONVENIO DE ASOCIACIÓN NO 49 DEL 2023 CUYO OBJETO ES AUNAR ESFUERZOS PARA LA ASISTENCIA Y ATENCIÓN INTEGRAL DE LAS PERSONAS MAYORES EN CONDICIONES DE VULNERABILIDAD A TRAVÉS DEL DESARROLLO DE LOS PROGRAMAS CENTRO VIDA Y CENTRO DE BIENESTAR
</t>
  </si>
  <si>
    <t>ADICIONAL EN TIEMPO Y VALOR NO. 01 AL CONVENIO DE ASOCIACIÓN NO 49 DEL 2023 CUYO OBJETO ES AUNAR ESFUERZOS PARA LA ASISTENCIA Y ATENCIÓN INTEGRAL DE LAS PERSONAS MAYORES EN CONDICIONES DE VULNERABILIDAD A TRAVÉS DEL DESARROLLO DE LOS PROGRAMAS CENTRO VIDA Y CENTRO DE BIENESTAR</t>
  </si>
  <si>
    <t>ADICIONAL EN TIEMPO Y VALOR NO. 01 AL CONVENIO DE ASOCIACIÓN NO 57 DEL 2023 CUYO OBJETO ES AUNAR ESFUERZOS PARA LA ASISTENCIA Y ATENCIÓN INTEGRAL DE LAS PERSONAS MAYORES EN CONDICIONES DE VULNERABILIDAD A TRAVÉS DEL DESARROLLO DE LOS PROGRAMAS CENTRO VIDA Y CENTRO DE BIENESTAR</t>
  </si>
  <si>
    <t xml:space="preserve">ADICIONAL EN TIEMPO Y VALOR NO. 01 AL CONVENIO DE ASOCIACIÓN NO 46 DEL 2023 CUYO OBJETO ES AUNAR ESFUERZOS PARA LA ASISTENCIA Y ATENCIÓN INTEGRAL DE LAS PERSONAS MAYORES EN CONDICIONES DE VULNERABILIDAD A TRAVÉS DEL DESARROLLO DE LOS PROGRAMAS CENTRO VIDA Y CENTRO DE BIENESTAR
</t>
  </si>
  <si>
    <t>ADICIONAL EN TIEMPO Y VALOR NO. 01 AL CONVENIO DE ASOCIACIÓN NO 46 DEL 2023 CUYO OBJETO ES AUNAR ESFUERZOS PARA LA ASISTENCIA Y ATENCIÓN INTEGRAL DE LAS PERSONAS MAYORES EN CONDICIONES DE VULNERABILIDAD A TRAVÉS DEL DESARROLLO DE LOS PROGRAMAS CENTRO VIDA Y CENTRO DE BIENESTAR</t>
  </si>
  <si>
    <t>ADICIONAL EN TIEMPO Y VALOR NO. 01 AL CONVENIO DE ASOCIACIÓN NO 52 CUYO OBJETO ES AUNAR ESFUERZOS PARA LA ASISTENCIA Y ATENCIÓN INTEGRAL DE LAS PERSONAS MAYORES EN CONDICIONES DE VULNERABILIDAD A TRAVÉS DEL DESARROLLO DE LOS PROGRAMAS CENTRO VIDA Y CENTRO DE BIENESTAR</t>
  </si>
  <si>
    <t>ADICIONAL EN TIEMPO Y VALOR NO. 01 AL CONVENIO DE ASOCIACIÓN NO 58 DEL 2023 CUYO OBJETO ES AUNAR ESFUERZOS PARA LA ASISTENCIA Y ATENCIÓN INTEGRAL DE LAS PERSONAS MAYORES EN CONDICIONES DE VULNERABILIDAD A TRAVÉS DEL DESARROLLO DE LOS PROGRAMAS CENTRO VIDA Y CENTRO DE BIENESTAR</t>
  </si>
  <si>
    <t xml:space="preserve">ADICIONAL EN TIEMPO Y VALOR NO. 01 AL CONVENIO DE ASOCIACIÓN NO 51 DEL 2023 CUYO OBJETO ES AUNAR ESFUERZOS PARA LA ASISTENCIA Y ATENCIÓN INTEGRAL DE LAS PERSONAS MAYORES EN CONDICIONES DE VULNERABILIDAD A TRAVÉS DEL DESARROLLO DE LOS PROGRAMAS CENTRO VIDA Y CENTRO DE BIENESTAR
</t>
  </si>
  <si>
    <t xml:space="preserve">ADICIONAL EN TIEMPO Y VALOR NO. 01 AL CONVENIO DE ASOCIACIÓN NO 55 DEL 2023 CUYO OBJETO ES AUNAR ESFUERZOS PARA LA ASISTENCIA Y ATENCIÓN INTEGRAL DE LAS PERSONAS MAYORES EN CONDICIONES DE VULNERABILIDAD A TRAVÉS DEL DESARROLLO DE LOS PROGRAMAS CENTRO VIDA Y CENTRO DE BIENESTAR
</t>
  </si>
  <si>
    <t>ADICIONAL EN TIEMPO Y VALOR NO. 01 AL CONVENIO DE ASOCIACIÓN NO 42 DEL 2023 CUYO OBJETO ES AUNAR ESFUERZOS PARA LA ASISTENCIA Y ATENCIÓN INTEGRAL DE LAS PERSONAS MAYORES EN CONDICIONES DE VULNERABILIDAD A TRAVÉS DEL DESARROLLO DE LOS PROGRAMAS CENTRO VIDA Y CENTRO DE BIENESTAR</t>
  </si>
  <si>
    <t>ADICIONAL EN TIEMPO Y VALOR NO. 01 AL CONVENIO DE ASOCIACIÓN NO 54 DEL 2023 CUYO OBJETO ES AUNAR ESFUERZOS PARA LA ASISTENCIA Y ATENCIÓN INTEGRAL DE LAS PERSONAS MAYORES EN CONDICIONES DE VULNERABILIDAD A TRAVÉS DEL DESARROLLO DE LOS PROGRAMAS CENTRO VIDA Y CENTRO DE BIENESTAR</t>
  </si>
  <si>
    <t>OTROSÍ MODIFICATORIO N° 1 AL CONTRATO DE COMPRAVENTA 127-2023 CUYO OBJETO ES 	ADQUISICIÓN DE ELEMENTOS DE PAPELERÍA Y LITOGRAFÍA PARA EL DESARROLLO DE LAS ESTRATEGIAS ENMARCADAS EN LOS DISTINTOS PROGRAMAS DE LA SECRETARÍA DE DESARROLLO SOCIAL DEL MUNICIPIO DE BUCARAMANGA</t>
  </si>
  <si>
    <t>MODIFICACION NO 1 AL CONTRATO NO 152 CUYO OBJETO ES  “ADQUISICIÓN DE MATERIALES PARA LA IMPLEMENTACIÓN DE SISTEMAS DE RIEGO POR GOTEO EN CULTIVOS PERMANENTES COMO ESTRATEGIA DEL FORTALECIMIENTO DE LA PRODUCTIVIDAD DEL SECTOR RURAL EN EL MUNICIPIO DE BUCARAMANGA”</t>
  </si>
  <si>
    <t>OTRO SI MODIFICATORIO N°1 AL CONTRATO 096 CUYO OBJETO ES BRINDAR ATENCIÓN E INCLUSIÓN SOCIAL EN LA MODALIDAD DE HOGAR DE PASO 24 HORAS A LOS CIUDADANOS EN HABITABILIDAD EN CALLE DEL MUNICIPIO DE BUCARAMANGA</t>
  </si>
  <si>
    <t>PRESTAR SERVICIOS PROFESIONALES COMO LICENCIADO EN EDUCACIÓN FÍSICA, DEPORTES Y RECREACIÓN PARA IMPLEMENTAR ESTRATEGIAS ORIENTADAS A LA GENERACIÓN DE ENTORNOS PROTECTORES EN EL MARCO DE LOS PROGRAMAS DE PRIMERA INFANCIA, INFANCIA Y ADOLESCENCIA DE LA SECRETARÍA DE DESARROLLO SOCIAL.</t>
  </si>
  <si>
    <t>LUIS ALBERTO TORRES PALOMINO</t>
  </si>
  <si>
    <t>SDS-SDS-CPS-532-2023</t>
  </si>
  <si>
    <t>91540260</t>
  </si>
  <si>
    <t xml:space="preserve">SUMINISTRO DE GALLINAS PONEDORAS A PEQUEÑOS PRODUCTORES QUE SE ENCUENTREN EN CONDICIÓN DE VICTIMAS DE LA VIOLENCIA Y CONDICIÓN DE DISCAPACIDAD PARA EL FORTALECIMIENTO DE LAS UNIDADES PRODUCTIVAS DEL SECTOR RURAL DEL MUNICIPIO DE BUCARAMANGA
</t>
  </si>
  <si>
    <t>2.3.2.02.01.000.1702021.215102.501</t>
  </si>
  <si>
    <t>SDS-SDS-MC-012-2023</t>
  </si>
  <si>
    <t>SERVICIO DE ACOMPAAMIENTO PRODUCTIVO Y EMPRESARIAL 501</t>
  </si>
  <si>
    <t xml:space="preserve">PAGO DE SERVICIO DE ACUEDUCTO, ALCANTARILLADO Y ASEO POR EL PERIODO DE JUNIO 01 HASTA JUNIO 30 DEL 2023 DE LOS CENTROS VIDA KENNEDY-ALVAREZ Y AÑOS MARAVILLOSOS,SEGÚN FACTURAS DE SERVICIO NO 0736401-0727417-0775149
</t>
  </si>
  <si>
    <t xml:space="preserve">PAGO DE SERVICIO DE ACUEDUCTO ALCANTARILLADO Y ASEO DE CASA BÚHO, POR EL PERIODO DE JUNIO 01 AL 30 DEL 2023 SEGUN FACTURA DE SERVICIO NO 0704944
</t>
  </si>
  <si>
    <t>PAGO DE SERVICIO DE ACUEDUCTO,ALCANTARILLADO Y ASEO POR EL PERIODO DE JUNIO 01 DEL 2023 HASTA JUNIO 30 DEL 2023 DE LAS  ÁGORAS NORTE BAJO- SAN MIGUEL- BUCARAMANGA -LA FERIA SEGÚN FACTURAS DE SERVICIOS NO 0762613-0734553-0746068-0812622.</t>
  </si>
  <si>
    <t>PAGO DE SERVICIO DE INTERNET DE LAS ÁGORAS (CAFÉ MADRID ,SAN CRISTOBAL,ESPERANZA,CENTRO,FERIA,MONTERREDOND,MIRAMAR,NUEVA COLOMBIA,REGADERO,CORDONCILLO)PERIODO: PERIODO DE AGOSTO 18 DEL 2023 HASTA SEPTIEMBRE 29 DEL 2023 FACTURA NO BCPT BCPT BCPT28530300</t>
  </si>
  <si>
    <t>PAGO DE SERVICIO DE ENERGÍA ELÉCTRICA DE LAS ÁGORAS SAN MIGUEL,GAITAN,BUCARAMANGA, Y BUENAVISTA CORRESPONDIENTE AL PERIODO DE JULIO 01 HASTA JULIO 31 DEL 2023,SEGÚN FACTURA NO 210165899 - 210167578- 210167931-210165688.</t>
  </si>
  <si>
    <t>PAGO DE SERVICIO PÚBLICO DE ENERGÍA ELÉCTRICA DE LOS CENTROS VIDAS AÑOS MARAVILLOSOS, ALVAREZ, KENNEDY POR EL PERIODO COMPRENDIDO DE JULIO 01 AL 30 DEL 2023, SEGÚN FACTURAS DE SERVICIOS NO 210165890 - 210167775 - 210165286</t>
  </si>
  <si>
    <t>PAGO DE SERVICIO PÚBLICO DE ENERGÍA ELÉCTRICA DE CASA BÚHO POR EL PERIODO DE JULIO 01 AL 30 DEL 2023, SEGUN FACTURA NO 210165797</t>
  </si>
  <si>
    <t xml:space="preserve">PRESTAR SERVICIOS PROFESIONALES COMO TRABAJADORA SOCIAL PARA APOYAR PERMANENTEMENTE LOS PROCESOS DE ATENCIÓN INTEGRAL, Y DE ANÁLISIS DE TERRITORIOS Y DISEÑO DE ESTRATEGIA HACIA EL BIENESTAR E INCLUSIÓN SOCIAL, DIRIGIDOS A POBLACIÓN HABITANTE DE CALLE, BENEFICIARIOS DEL PROGRAMA ADSCRITO A LA SECRETARÍA DE DESARROLLO SOCIAL DEL MUNICIPIO DE BUCARAMANGA
</t>
  </si>
  <si>
    <t>VANESSA HOYOS  MALDONADO</t>
  </si>
  <si>
    <t>SDS-SDS-CPS-533-2023</t>
  </si>
  <si>
    <t>1003243232</t>
  </si>
  <si>
    <t>ADQUISICIÓN DE MATERIAL BIBLIOGRÁFICO PARA FORTALECER LOS PROCESOS DIDÁCTICOS Y PEDAGÓGICOS DE PRELECTURA PARA DOTAR ESPACIOS DE ATENCIÓN DE LA SECRETARÍA DE DESARROLLO SOCIAL</t>
  </si>
  <si>
    <t>CUANDO NO EXISTA PLURALIDAD DE OFERENTES EN EL MERCADO</t>
  </si>
  <si>
    <t>FUNDACIÓN SANTANDEREANA PARA EL DESARROLLO REGIONAL</t>
  </si>
  <si>
    <t>2.3.2.02.01.003.4102043.3229903.501</t>
  </si>
  <si>
    <t>SDS-SDS-CD-001-2023-01</t>
  </si>
  <si>
    <t>SERVICIO DE PROMOCION DE TEMAS DE DINAMICA RELACIONAL Y DESARROLLO AUTONOMO 501</t>
  </si>
  <si>
    <t>890209432</t>
  </si>
  <si>
    <t>PAGO DE SERVICIO DE TELEFONÍA MÓVIL DE LOS PROGRAMAS FORTALECIMIENTO DE LAS INSTITUCIONES DEMOCRÁTICAS Y CUIDADANA PARTICIPATIVA,ACELERADORES DE DESARROLLO SOCIAL,ADULTO MAYOR Y DIGNO POR EL PERIODO DE (26-JULIO DEL 2023 - HASTA EL 25 DE AGOSTO DEL 2023) SEGÚN FACTURA ELECTRÓNICA DE VENTA NO E 5744536296</t>
  </si>
  <si>
    <t xml:space="preserve">PRESTAR SERVICIOS PROFESIONALES COMO PSICÓLOGO(A) EN EL DESARROLLO DE ACTIVIDADES PARA LA PROMOCIÓN DE LA SALUD MENTAL DE LAS PERSONAS MAYORES EN CONDICIÓN DE VULNERABILIDAD ADSCRITAS A LOS CENTROS VIDA DEL MUNICIPIO DE BUCARAMANGA
</t>
  </si>
  <si>
    <t>LEIDY KATHERINE VEGA MORA</t>
  </si>
  <si>
    <t>SDS-SDS-CPS-534-2023</t>
  </si>
  <si>
    <t>1098797830</t>
  </si>
  <si>
    <t>IMPLEMENTACIÓN DE LA ESTRATEGIA DE ORIENTACIÓN OCUPACIONAL, INCLUSIÓN LABORAL Y PROYECTO DE VIDA DE JÓVENES Y ADULTOS CON DISCAPACIDAD DEL MUNICIPIO DE BUCARAMANGA QUE PROPENDA POR SU INCLUSIÓN SOCIAL</t>
  </si>
  <si>
    <t>SDS-SDS-PC-005-2023</t>
  </si>
  <si>
    <t xml:space="preserve">PRESTACIÓN DE SERVICIOS DE APOYO A LA GESTIÓN DE LOS SISTEMAS DE INFORMACIÓN QUE INTEGRAN EL PROCEDIMIENTO CONTRACTUAL DE LA SECRETARÍA DESARROLLO SOCIAL.
</t>
  </si>
  <si>
    <t>JULIAN ALBERTO VASQUEZ ALARCÓN</t>
  </si>
  <si>
    <t>SDS-SDS-CPS-535-2023</t>
  </si>
  <si>
    <t>1098747372</t>
  </si>
  <si>
    <t>PRESTAR SERVICIOS PROFESIONALES EN PSICOLOGÍA PARA APOYAR LA IMPLEMENTACIÓN DE ESTRATEGIAS ORIENTADAS A LA GENERACIÓN DE ENTORNOS PROTECTORES PARA LOS NIÑOS, NIÑAS Y ADOLESCENTES.</t>
  </si>
  <si>
    <t>TATIANA MOLANO ATUESTA</t>
  </si>
  <si>
    <t>SDS-SDS-CPS-536-2023</t>
  </si>
  <si>
    <t>1098705082</t>
  </si>
  <si>
    <t>PAGO SERVICIO DE INTERNET DE 13 ÁGORAS DE UBICADAS EN LOS SECTORES DE LIBERTAD,NORTE BAJO,BUCARAMANGA,VILLA PRADO,GRANJAS DE PROVENZA,DIAMANTE,GAITAN,JOYA,PORVENIR,EL ROCIO ,SAN MIGUEL,SANTANDER,KENNEDY PERIODO DE CONSUMO DE SEPTIEMBRE 01 HASTA SEPTIEMBRE 30 DEL 2023 FACTURAS NO R 1033506830 R 1033506842 R 1033547682 R 1033547700 R 1033547714 R 1033506813 R 1033547670 R 1033506895 R 1033506877 R 1033547657 R 1033506853 R 1033506869 R 1033487782</t>
  </si>
  <si>
    <t>PAGO DE SERVICIO PUBLICO DE GAS NATURAL DE LOS CENTROS VIDA AÑOS MARAVILLOSOS FACTURA NO F18I11909101 PERIODO COMPRENDIDO DE JULIO 18 DEL 2023 HASTA AGOSTO 16-2023, CENTRO VIDA ALVAREZ FACTURA NO NO F18I11909115 PERIODO COMPRENDIDO DE JULIO 17 DEL 2023 HASTA AGOSTO 14-2023 Y CENTRO VIDA KENNEDY NO F18I11909040 PERIODO COMPRENDIDO DE JULIO 18 DEL 2023 HASTA AGOSTO 15-2023</t>
  </si>
  <si>
    <t xml:space="preserve">PAGO DE RIESGOS PROFESIONALES A 118 EDILES DEL MUNICIPIO DE BUCARAMANGA POR EL PERIODO DE SEPTIEMBRE 01 AL 30 DEL 2023
</t>
  </si>
  <si>
    <t>PAGO DE SEGURIDAD SOCIAL A 118 EDILES DEL MUNICIPIO DE BUCARAMANGA POR EL PERIODO DE SEPTIEMBRE 01 AL 30 DEL 2023</t>
  </si>
  <si>
    <t>BRINDAR ATENCIÓN INTEGRAL PARA LA POBLACIÓN EN HABITABILIDAD EN CALLE, CON ALTA DEPENDENCIA FÍSICA, MENTAL O COGNITIVA EN EL MUNICIPIO DE BUCARAMANGA</t>
  </si>
  <si>
    <t>SDS-SDS-CA-026-2023</t>
  </si>
  <si>
    <t>PAGO DE SERVICIO DE TELEFONÍA FIJA E INTERNET DEL CENTRO VIDA KENEDDY POR EL PERIODO COMPRENDIDO DE AGOSTO 01 HASTA AGOSTO 31 DEL 2023 SEGÚN FACTURA NO TBCL-22936915</t>
  </si>
  <si>
    <t>PAGO DE SERVICIO DE GAS NATURAL -CASA BÚHO SEGUN FACTURA NO F 18I11908982 PERIODO COMPRENDIDO JULIO 17 DEL 2023 HASTA AGOSTO 14 DEL 2023</t>
  </si>
  <si>
    <t>PAGO DE SERVICIO DE INTERNET AGORA PROVENZA PERIODO: (SEPTIEMBRE 01 HASTA SEPTIEMBRE 30 DEL 2023)SEGÚN REFERENCIA DE PAGO 9521231649-14 CONTRATO DE SERVICIO NO 19166503</t>
  </si>
  <si>
    <t xml:space="preserve">BRINDAR ATENCIÓN INTEGRAL MEDIANTE ALOJAMIENTO TEMPORAL PARA LA ACTIVACIÓN DE RUTAS DE PROTECCIÓN Y ATENCIÓN A LA POBLACIÓN LGBTIQ Y MUJERES EN SITUACIÓN DE RIESGO POR RAZÓN DE GENERO DEL MUNICIPIO DE BUCARAMANGA
</t>
  </si>
  <si>
    <t>CORPORACION DE PROFESIONALES PARA EL DESARROLLO INTEGRAL COMUNITARIO</t>
  </si>
  <si>
    <t>SDS-SDS-CA-24-2023</t>
  </si>
  <si>
    <t>804003003</t>
  </si>
  <si>
    <t>PRESTAR SERVICIOS PROFESIONALES PARA LA COORDINACIÓN,DESARROLLO E IMPLEMENTACION DE LAS ACTIVIDADES INTEGRALES DEL CENTRO VIDA AÑOS MARAVILLOSOS DEL MUNICIPIO DE BUCARAMANGA</t>
  </si>
  <si>
    <t>MARIA EMILCE SALCEDO BETIN</t>
  </si>
  <si>
    <t>SDS-SDS-CPS-537-2023</t>
  </si>
  <si>
    <t>1098718354</t>
  </si>
  <si>
    <t>PRESTAR SERVICIOS DE ASISTENCIA EXEQUIAL DIRIGIDOS A MUJERES Y POBLACIÓN CON ORIENTACIONES SEXUALES E IDENTIDADES DE GÉNERO DIVERSAS EN CONDICIONES DE VULNERABILIDAD SOCIOECONÓMICA EN EL MUNICIPIO DE BUCARAMANGA.</t>
  </si>
  <si>
    <t>2.3.2.02.02.009.4502038.97321.501</t>
  </si>
  <si>
    <t>SDS-SDS-MC-013-2023</t>
  </si>
  <si>
    <t xml:space="preserve">PAGO DE SERVICIO DE INTERNET DE LOS PROGRAMAS PROGRAMA MUJER Y EQUIDAD DE GENERO CARRERA 34 NO 35-39 BARRIO ALVAREZ(CENTRO INTEGRAL DE LA MUJER) PROGRAMA ADULTO MAYOR DIAGONAL 14 NO 56-02 BARRIO GOMEZ NIÑO (CENTRO VIDA AÑOS MARAVILLOSOS) PROGRAMA ADULTO MAYOR CALLE 33 NO 40-18 BARRIO ALVAREZ (CENTRO VIDA ALVAREZ) PROGRAMA HABITANTE DE CALLE CALLE 30 NO 17-74 BARRIO CENTRO POR EL PERIODO SEPTIEMBRE 01 HASTA SEPTIEMBRE 30 DEL 2023 SEGÚN FACTURA DE SERVICIO NO 3 - 291379692.
</t>
  </si>
  <si>
    <t>ADQUISICIÓN DE MOBILIARIO, EQUIPOS AUDIOVISUALES, TECNOLÓGICOS Y ELEMENTOS GASTRONÓMICOS, PARA LA DOTACIÓN DE LAS ÁGORAS Y CENTROS VIDA DEL MUNICIPIO DE BUCARAMANGA</t>
  </si>
  <si>
    <t>DISTRIBUCIONES ATLANTIS EDUCACION S.A.S.</t>
  </si>
  <si>
    <t>2.3.2.02.01.003.4104008.3649010.201</t>
  </si>
  <si>
    <t>SDS-SDS-SASI-010-2023</t>
  </si>
  <si>
    <t>900439853</t>
  </si>
  <si>
    <t>2.3.2.02.01.004.4104008.4391307.201</t>
  </si>
  <si>
    <t>ATENCION INTEGRAL DE POBLACION EN SITUACION PERMANENTE DE DESPROTECCION SOCIAL YO FAMILIAR 201</t>
  </si>
  <si>
    <t>2.3.2.02.01.004.4104008.4293106.201</t>
  </si>
  <si>
    <t>SERVICIO DE ATENCION Y PROTECCION INTEGRAL AL ADULTO MAYOR ENVASES DE ALUMINIO DE 1000 CM3 Y MS SERVICIO DE ATENCION Y PROTECCION INTEGRAL AL ADULTO MAYOR 201</t>
  </si>
  <si>
    <t>2.3.2.02.01.004.4104008.4481701.201</t>
  </si>
  <si>
    <t>2.3.2.02.01.004.4104008.4291246.201</t>
  </si>
  <si>
    <t>2.3.2.02.01.003.4502001.3529901.501</t>
  </si>
  <si>
    <t>BOTIQUINES PARA EMERGENCIA SERVICIO DE PROMOCION A LA PARTICIPACION CIUDADANA 501</t>
  </si>
  <si>
    <t>PAGO DE SERVICIO DE ACUEDUCTO,ALCANTARILLADO Y ASEO POR EL PERIODO DE JULIO 01 DEL 2023 HASTA JULIO 31 DEL 2023 DE LAS NORTE BAJO- SAN MIGUEL- BUCARAMANGA -LA FERIA SEGÚN FACTURAS DE SERVICIOS NO 1082622-1054423-1065941-1132665</t>
  </si>
  <si>
    <t>PAGO DE SERVICIO DE ACUEDUCTO, ALCANTARILLADO Y ASEO POR EL PERIODO DE JULIO 01 HASTA JULIO 31 DEL 2023 DE LOS CENTROS VIDA KENNEDY-ALVAREZ
Y AÑOS MARAVILLOSOS,SEGÚN FACTURAS DE SERVICIO NO 1095162-1047222-1056271</t>
  </si>
  <si>
    <t>PAGO DE SERVICIO DE ACUEDUCTO ALCANTARILLADO Y ASEO DE CASA BÚHO, POR EL PERIODO DE JULIO 01 AL 31 DEL 2023 SEGUN FACTURA DE SERVICIO NO 1024732</t>
  </si>
  <si>
    <t>PAGO DE SERVICIO DE INTERNET CASA BÚHO, SEGUN FACTURA DE VENTA NO BEC 321315604 PERIODOS DE AGOSTO 02 DEL 2023 HASTA SEPTIEMBRE 01 DEL 2023 Y SEPTIEMBRE 02 DEL 2023 HASTA OCTUBRE 01 DEL 2023.</t>
  </si>
  <si>
    <t>GRUPO EMPRESARIAL G &amp; G SAS</t>
  </si>
  <si>
    <t>2.3.2.01.01.004.01.01.02.4502001.3812299.201</t>
  </si>
  <si>
    <t>900702609</t>
  </si>
  <si>
    <t>2.3.2.01.01.004.01.01.4502001.3812299.501</t>
  </si>
  <si>
    <t>MACRORIGAMI SAS</t>
  </si>
  <si>
    <t>2.3.2.02.01.004.4502001.45221.501</t>
  </si>
  <si>
    <t>900991246</t>
  </si>
  <si>
    <t>2.3.2.02.01.004.4502001.4733004.501</t>
  </si>
  <si>
    <t>2.3.2.01.01.003.05.02.4502001.4731301.201</t>
  </si>
  <si>
    <t>OTRO SI MODIFICATORIO N°1 AL CONVENIO DE ASOCIACIÓN NUMERO 131-2023 CUYO OBJETO ES "PROMOVER EL FORTALECIMIENTO DE LOS HÁBITOS DE LA VIDA DIARIA Y DESARROLLO HUMANO EN PERSONAS CON DISCAPACIDAD Y SU RED PRIMARIA DE APOYO DEL MUNICIPIO DE BUCARAMANGA CON EL FIN DE CONTRIBUIR AL MEJORAMIENTO DE SU CALIDAD DE VIDA"</t>
  </si>
  <si>
    <t>ADQUISICIÓN DE AYUDAS TÉCNICAS Y/O TECNOLÓGICAS SOBRE MEDIDAS, PARA MANTENER EL BANCO DE AYUDAS TÉCNICAS Y/O TECNOLÓGICAS DIRIGIDAS A PERSONAS CON DISCAPACIDAD VISUAL, FÍSICA, COGNITIVA Y/O INTELECTUAL Y MÚLTIPLE EN EXTREMA VULNERABILIDAD DEL MUNICIPIO DE BUCARAMANGA</t>
  </si>
  <si>
    <t>ORTHOSANDER SAS</t>
  </si>
  <si>
    <t>2.3.2.01.01.003.07.07.4104020.4992201.501</t>
  </si>
  <si>
    <t>SDS-SDS-SASI-009-2023</t>
  </si>
  <si>
    <t>901045292</t>
  </si>
  <si>
    <t>2.3.2.01.01.003.07.07.4104020.4992201.201</t>
  </si>
  <si>
    <t>ADQUISICIÓN DE INDUMENTARIA DEPORTIVA, DOTACIÓN E IMPLEMENTOS DE IDENTIFICACIÓN CON DESTINO A LOS NIÑOS, NIÑAS, ADOLESCENTES, JOVENES CMJ, ADULTOS MAYORES Y PERSONAS EN CONDICIÓN DE DISCAPACIDAD BENEFICIARIOS DE LOS PROGRAMAS DE LA SECRETARIA DE DESARROLLO SOCIAL DEL MUNICIPIO DE BUCARAMANGA.</t>
  </si>
  <si>
    <t>ANDREA CAROLINA PAREDES RAMIREZ</t>
  </si>
  <si>
    <t>2.3.2.02.01.003.4102038.3844001.201</t>
  </si>
  <si>
    <t>SDS-SDS-SASI-011-2023</t>
  </si>
  <si>
    <t>63559326</t>
  </si>
  <si>
    <t>2.3.2.02.01.002.4104008.2823605.501</t>
  </si>
  <si>
    <t>COMERCIALIZADORA GENERAL DE LA COSTA S.A.S</t>
  </si>
  <si>
    <t>2.3.2.02.01.002.4104008.2823611.501</t>
  </si>
  <si>
    <t>900206607</t>
  </si>
  <si>
    <t>2.3.2.02.01.002.4104020.2823218.501</t>
  </si>
  <si>
    <t>2.3.2.02.01.002.4502001.2826207.201</t>
  </si>
  <si>
    <t>2.3.2.02.01.002.4502001.2823211.201</t>
  </si>
  <si>
    <t>2.3.2.02.01.002.4102038.2823611.201</t>
  </si>
  <si>
    <t>2.3.2.02.01.002.4102038.2823605.501</t>
  </si>
  <si>
    <t>SERVICIO DIRIGIDOS A LA ATENCION DE NIOS, NIAS, ADOLESCENTES Y JOVENES, CON ENFOQUE PEDAGOGICO Y RESTAURATIVO ENCAMINADOS A LA INCLUSION SOCIAL.501</t>
  </si>
  <si>
    <t>PAGO DE SERVICIO PÚBLICO DE ENERGÍA ELÉCTRICA DE CASA BÚHO POR EL PERIODO DE AGOSTO 01 AL 31 DEL 2023, SEGUN FACTURA NO 211351651</t>
  </si>
  <si>
    <t>PAGO DE SERVICIO PÚBLICO DE ENERGÍA ELÉCTRICA DE LOS CENTROS VIDAS AÑOS MARAVILLOSOS, ALVAREZ, KENNEDY POR EL PERIODO COMPRENDIDO DE AGOSTO 01 AL 31 DEL 2023, SEGÚN FACTURAS DE SERVICIOS NO 211353488-211353856-211351690</t>
  </si>
  <si>
    <t>PAGO DE SERVICIO DE ENERGÍA ELÉCTRICA DE LAS ÁGORAS SAN MIGUEL,GAITAN,BUCARAMANGA, BUENAVISTA Y LA FERIA CORRESPONDIENTE AL PERIODO DE AGOSTO 01 HASTA AGOSTO 31 DEL 2023,SEGÚN FACTURA NO 211351699-211351425-211354028-211353925-211351445.</t>
  </si>
  <si>
    <t>PAGO DE SERVICIO DE INTERNET DE LAS ÁGORAS (CAFÉ MADRID ,SAN CRISTOBAL,ESPERANZA,CENTRO,FERIA,MONTERREDONDO,MIRAMAR,NUEVA COLOMBIA,REGADERO,CORDONCILLO) PERIODO:SEPTIEMBRE 18 DEL 2023 HASTA OCTUBRE 18 DEL 2023 FACTURA NO BCPT 32948050</t>
  </si>
  <si>
    <t>IMPLEMENTAR LA ESTRATEGIA DE ORIENTACIÓN VOCACIONAL QUE PROMUEVA LA ALFABETIZACIÓN DIGITAL MEDIANTE LA METODOLOGÍA STEAM PARA PROMOVER EL ADECUADO USO DEL TIEMPO LIBRE Y LA PLANEACIÓN DEL PROYECTO DE VIDA EN ADOLESCENTES DEL MUNICIPIO DE BUCARAMANGA</t>
  </si>
  <si>
    <t>UNIVERSIDAD SANTO TOMAS</t>
  </si>
  <si>
    <t>SDS-SDS-CA-025-2023</t>
  </si>
  <si>
    <t>860012357</t>
  </si>
  <si>
    <t>ADQUISICIÓN DE ELEMENTOS DE PREMIACIÓN Y RECONOCIMIENTOS DE PARTICIPACIÓN EN LOS EVENTOS: OLIMPIADAS DEPORTIVAS PARA PERSONAS CON DISCAPACIDAD, Y EL INTERCAMBIO DE EXPERIENCIAS EXITOSAS Y RECONOCIMIENTOS MERITORIOS A PROFESIONALES EN EL MUNICIPIO DE BUCARAMANGA.</t>
  </si>
  <si>
    <t>GRANADOS &amp; MEDALLAS S.A.S.</t>
  </si>
  <si>
    <t>2.3.2.02.01.004.4104020.4299604.501</t>
  </si>
  <si>
    <t>SDS-SDS-MC-014-2023</t>
  </si>
  <si>
    <t>900947681</t>
  </si>
  <si>
    <t>2.3.2.02.01.004.4104020.4299603.501</t>
  </si>
  <si>
    <t>TOTAL INFORME COMPROMISOS SECRETARIA DE DESARROLLO SOCIAL</t>
  </si>
  <si>
    <t>Secretaria de Desarrollo Social</t>
  </si>
  <si>
    <t>Contratos y Gastos A 30  DE SEPTIEMBRE DEL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</si>
</sst>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 #,##0.00;[Red]\-&quot;$&quot;\ #,##0.00"/>
    <numFmt numFmtId="44" formatCode="_-&quot;$&quot;\ * #,##0.00_-;\-&quot;$&quot;\ * #,##0.00_-;_-&quot;$&quot;\ * &quot;-&quot;??_-;_-@_-"/>
    <numFmt numFmtId="43" formatCode="_-* #,##0.00_-;\-* #,##0.00_-;_-* &quot;-&quot;??_-;_-@_-"/>
    <numFmt numFmtId="164" formatCode="_(* #,##0.00_);_(* \(#,##0.00\);_(* &quot;-&quot;??_);_(@_)"/>
  </numFmts>
  <fonts count="7" x14ac:knownFonts="1">
    <font>
      <sz val="11"/>
      <color theme="1"/>
      <name val="Arial"/>
      <family val="2"/>
    </font>
    <font>
      <sz val="10"/>
      <name val="Arial"/>
      <family val="2"/>
    </font>
    <font>
      <b/>
      <sz val="10"/>
      <name val="Arial Narrow"/>
      <family val="2"/>
    </font>
    <font>
      <sz val="11"/>
      <color theme="1"/>
      <name val="Arial"/>
      <family val="2"/>
    </font>
    <font>
      <sz val="10"/>
      <name val="Arial Narrow"/>
      <family val="2"/>
    </font>
    <font>
      <b/>
      <sz val="9"/>
      <color indexed="81"/>
      <name val="Tahoma"/>
      <family val="2"/>
    </font>
    <font>
      <sz val="9"/>
      <color indexed="81"/>
      <name val="Tahoma"/>
      <family val="2"/>
    </font>
  </fonts>
  <fills count="5">
    <fill>
      <patternFill patternType="none"/>
    </fill>
    <fill>
      <patternFill patternType="gray125"/>
    </fill>
    <fill>
      <patternFill patternType="solid">
        <fgColor theme="0" tint="-0.249977111117893"/>
        <bgColor indexed="64"/>
      </patternFill>
    </fill>
    <fill>
      <patternFill patternType="solid">
        <fgColor theme="9" tint="0.59999389629810485"/>
        <bgColor indexed="64"/>
      </patternFill>
    </fill>
    <fill>
      <patternFill patternType="solid">
        <fgColor rgb="FFFFFF00"/>
        <bgColor indexed="64"/>
      </patternFill>
    </fill>
  </fills>
  <borders count="4">
    <border>
      <left/>
      <right/>
      <top/>
      <bottom/>
      <diagonal/>
    </border>
    <border>
      <left style="thin">
        <color auto="1"/>
      </left>
      <right style="thin">
        <color auto="1"/>
      </right>
      <top style="thin">
        <color auto="1"/>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s>
  <cellStyleXfs count="7">
    <xf numFmtId="0" fontId="0"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51">
    <xf numFmtId="0" fontId="0" fillId="0" borderId="0" xfId="0"/>
    <xf numFmtId="0" fontId="2" fillId="0" borderId="0" xfId="4" applyFont="1" applyAlignment="1">
      <alignment horizontal="center" vertical="center"/>
    </xf>
    <xf numFmtId="0" fontId="2" fillId="0" borderId="0" xfId="4" applyFont="1"/>
    <xf numFmtId="0" fontId="2" fillId="0" borderId="0" xfId="4" applyFont="1" applyAlignment="1">
      <alignment horizontal="center"/>
    </xf>
    <xf numFmtId="0" fontId="2" fillId="0" borderId="0" xfId="4" applyFont="1" applyAlignment="1">
      <alignment horizontal="center" vertical="center"/>
    </xf>
    <xf numFmtId="0" fontId="2" fillId="0" borderId="0" xfId="5" applyFont="1" applyAlignment="1">
      <alignment horizontal="center"/>
    </xf>
    <xf numFmtId="44" fontId="2" fillId="0" borderId="0" xfId="2" applyFont="1" applyAlignment="1">
      <alignment horizontal="center"/>
    </xf>
    <xf numFmtId="4" fontId="2" fillId="2" borderId="1" xfId="4" applyNumberFormat="1" applyFont="1" applyFill="1" applyBorder="1" applyAlignment="1">
      <alignment horizontal="center" vertical="center" wrapText="1"/>
    </xf>
    <xf numFmtId="0" fontId="2" fillId="2" borderId="1" xfId="4" applyFont="1" applyFill="1" applyBorder="1" applyAlignment="1">
      <alignment horizontal="center" vertical="center" wrapText="1"/>
    </xf>
    <xf numFmtId="44" fontId="2" fillId="2" borderId="1" xfId="2" applyFont="1" applyFill="1" applyBorder="1" applyAlignment="1">
      <alignment horizontal="center" vertical="center" wrapText="1"/>
    </xf>
    <xf numFmtId="4" fontId="2" fillId="2" borderId="1" xfId="5" applyNumberFormat="1" applyFont="1" applyFill="1" applyBorder="1" applyAlignment="1">
      <alignment horizontal="center" vertical="center" wrapText="1"/>
    </xf>
    <xf numFmtId="4" fontId="2" fillId="0" borderId="1" xfId="5" applyNumberFormat="1" applyFont="1" applyBorder="1" applyAlignment="1">
      <alignment horizontal="center" vertical="center" wrapText="1"/>
    </xf>
    <xf numFmtId="0" fontId="2" fillId="0" borderId="0" xfId="4" applyFont="1" applyAlignment="1">
      <alignment horizontal="center" wrapText="1"/>
    </xf>
    <xf numFmtId="0" fontId="4" fillId="0" borderId="2" xfId="4" applyFont="1" applyBorder="1"/>
    <xf numFmtId="1" fontId="4" fillId="0" borderId="2" xfId="4" applyNumberFormat="1" applyFont="1" applyBorder="1"/>
    <xf numFmtId="0" fontId="4" fillId="0" borderId="2" xfId="1" applyNumberFormat="1" applyFont="1" applyFill="1" applyBorder="1" applyAlignment="1">
      <alignment horizontal="center" vertical="center"/>
    </xf>
    <xf numFmtId="14" fontId="4" fillId="0" borderId="2" xfId="4" applyNumberFormat="1" applyFont="1" applyBorder="1"/>
    <xf numFmtId="44" fontId="4" fillId="0" borderId="2" xfId="2" applyFont="1" applyFill="1" applyBorder="1"/>
    <xf numFmtId="44" fontId="4" fillId="3" borderId="2" xfId="2" applyFont="1" applyFill="1" applyBorder="1"/>
    <xf numFmtId="0" fontId="4" fillId="0" borderId="0" xfId="5" applyFont="1"/>
    <xf numFmtId="0" fontId="4" fillId="0" borderId="0" xfId="4" applyFont="1"/>
    <xf numFmtId="0" fontId="4" fillId="0" borderId="2" xfId="1" applyNumberFormat="1" applyFont="1" applyFill="1" applyBorder="1" applyAlignment="1">
      <alignment horizontal="left" vertical="center"/>
    </xf>
    <xf numFmtId="0" fontId="4" fillId="0" borderId="2" xfId="5" applyFont="1" applyBorder="1"/>
    <xf numFmtId="0" fontId="4" fillId="4" borderId="2" xfId="4" applyFont="1" applyFill="1" applyBorder="1"/>
    <xf numFmtId="0" fontId="4" fillId="0" borderId="2" xfId="0" applyFont="1" applyBorder="1"/>
    <xf numFmtId="1" fontId="4" fillId="0" borderId="2" xfId="6" applyNumberFormat="1" applyFont="1" applyFill="1" applyBorder="1"/>
    <xf numFmtId="44" fontId="4" fillId="4" borderId="2" xfId="2" applyFont="1" applyFill="1" applyBorder="1"/>
    <xf numFmtId="1" fontId="4" fillId="0" borderId="0" xfId="4" applyNumberFormat="1" applyFont="1"/>
    <xf numFmtId="0" fontId="4" fillId="0" borderId="0" xfId="0" applyFont="1"/>
    <xf numFmtId="0" fontId="4" fillId="0" borderId="0" xfId="0" applyFont="1" applyAlignment="1">
      <alignment horizontal="center"/>
    </xf>
    <xf numFmtId="0" fontId="4" fillId="0" borderId="0" xfId="1" applyNumberFormat="1" applyFont="1" applyFill="1" applyBorder="1" applyAlignment="1">
      <alignment horizontal="left" vertical="center"/>
    </xf>
    <xf numFmtId="14" fontId="4" fillId="0" borderId="0" xfId="0" applyNumberFormat="1" applyFont="1"/>
    <xf numFmtId="44" fontId="4" fillId="0" borderId="0" xfId="2" applyFont="1" applyBorder="1"/>
    <xf numFmtId="44" fontId="4" fillId="0" borderId="0" xfId="2" applyFont="1" applyFill="1" applyBorder="1"/>
    <xf numFmtId="0" fontId="4" fillId="0" borderId="0" xfId="1" applyNumberFormat="1" applyFont="1" applyBorder="1"/>
    <xf numFmtId="0" fontId="4" fillId="0" borderId="0" xfId="1" applyNumberFormat="1" applyFont="1" applyFill="1" applyAlignment="1">
      <alignment horizontal="center" vertical="center"/>
    </xf>
    <xf numFmtId="14" fontId="4" fillId="0" borderId="0" xfId="4" applyNumberFormat="1" applyFont="1"/>
    <xf numFmtId="44" fontId="4" fillId="0" borderId="0" xfId="2" applyFont="1"/>
    <xf numFmtId="1" fontId="2" fillId="0" borderId="0" xfId="4" applyNumberFormat="1" applyFont="1"/>
    <xf numFmtId="44" fontId="2" fillId="0" borderId="0" xfId="2" applyFont="1" applyFill="1"/>
    <xf numFmtId="0" fontId="4" fillId="0" borderId="0" xfId="4" applyFont="1" applyAlignment="1">
      <alignment horizontal="center"/>
    </xf>
    <xf numFmtId="44" fontId="2" fillId="0" borderId="3" xfId="2" applyFont="1" applyFill="1" applyBorder="1"/>
    <xf numFmtId="44" fontId="4" fillId="0" borderId="0" xfId="2" applyFont="1" applyFill="1"/>
    <xf numFmtId="4" fontId="4" fillId="0" borderId="0" xfId="4" applyNumberFormat="1" applyFont="1"/>
    <xf numFmtId="9" fontId="4" fillId="0" borderId="0" xfId="3" applyFont="1" applyFill="1"/>
    <xf numFmtId="8" fontId="4" fillId="0" borderId="0" xfId="4" applyNumberFormat="1" applyFont="1"/>
    <xf numFmtId="44" fontId="4" fillId="0" borderId="0" xfId="5" applyNumberFormat="1" applyFont="1"/>
    <xf numFmtId="0" fontId="4" fillId="0" borderId="0" xfId="4" applyFont="1" applyAlignment="1">
      <alignment horizontal="center" vertical="center"/>
    </xf>
    <xf numFmtId="43" fontId="4" fillId="0" borderId="0" xfId="1" applyFont="1" applyFill="1"/>
    <xf numFmtId="43" fontId="4" fillId="0" borderId="0" xfId="1" applyFont="1" applyFill="1" applyAlignment="1">
      <alignment horizontal="center" vertical="center"/>
    </xf>
    <xf numFmtId="43" fontId="4" fillId="0" borderId="0" xfId="4" applyNumberFormat="1" applyFont="1"/>
  </cellXfs>
  <cellStyles count="7">
    <cellStyle name="Millares" xfId="1" builtinId="3"/>
    <cellStyle name="Millares 2" xfId="6" xr:uid="{5B137BD1-3579-4B88-A716-227910E8A8AF}"/>
    <cellStyle name="Moneda" xfId="2" builtinId="4"/>
    <cellStyle name="Normal" xfId="0" builtinId="0"/>
    <cellStyle name="Normal 3" xfId="4" xr:uid="{FADB885B-C515-403B-A6AC-E0E216358F5F}"/>
    <cellStyle name="Normal 3 2" xfId="5" xr:uid="{450A7D59-3F3D-4A23-B70F-C9083042B4AD}"/>
    <cellStyle name="Porcentaje" xfId="3"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jmsan\Documents\Alcaldia%20de%20Bucaramanga\Informes%20Planeaci&#243;n\(10)%20Oct%202023%20-%20Plan%20de%20Acci&#243;n%20septiembre%202023.xlsx" TargetMode="External"/><Relationship Id="rId1" Type="http://schemas.openxmlformats.org/officeDocument/2006/relationships/externalLinkPath" Target="/Users/jmsan/Documents/Alcaldia%20de%20Bucaramanga/Informes%20Planeaci&#243;n/(10)%20Oct%202023%20-%20Plan%20de%20Acci&#243;n%20septiembre%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nexo PA ACUM 2023 (2)"/>
      <sheetName val="PA 2023"/>
      <sheetName val="Anexo PA ACUM 2023"/>
    </sheetNames>
    <sheetDataSet>
      <sheetData sheetId="0"/>
      <sheetData sheetId="1">
        <row r="8">
          <cell r="A8" t="str">
            <v>No.</v>
          </cell>
          <cell r="B8" t="str">
            <v>Línea estratégica</v>
          </cell>
          <cell r="C8" t="str">
            <v>Componente</v>
          </cell>
          <cell r="D8" t="str">
            <v xml:space="preserve">Programa </v>
          </cell>
          <cell r="E8" t="str">
            <v>Meta PDM</v>
          </cell>
          <cell r="G8" t="str">
            <v>Código BPIN</v>
          </cell>
          <cell r="H8" t="str">
            <v>Nombre del Proyecto</v>
          </cell>
        </row>
        <row r="9">
          <cell r="A9">
            <v>67</v>
          </cell>
          <cell r="B9" t="str">
            <v>BUCARAMANGA EQUITATIVA E INCLUYENTE: UNA CIUDAD DE BIENESTAR</v>
          </cell>
          <cell r="C9" t="str">
            <v>Capacidades Y Oportunidades Para Superar Brechas Sociales</v>
          </cell>
          <cell r="D9" t="str">
            <v>Primera Infancia El Centro De La Sociedad</v>
          </cell>
          <cell r="E9" t="str">
            <v>Formular e implementar 1 estrategia para el fortalecimiento de padres/madres y/o cuidadores en pautas de crianza y vínculos afectivos tanto en el ámbito familiar como comunitario que permita disminuir las violencias en primera infancia.</v>
          </cell>
          <cell r="G9">
            <v>2021680010003</v>
          </cell>
          <cell r="H9" t="str">
            <v>IMPLEMENTACIÓN DE ESTRATEGIAS PSICOPEDAGÓGICAS PARA LA DISMINUCIÓN DE FACTORES DE RIESGO EN NIÑOS, NIÑAS Y ADOLESCENTES EN EL MUNICIPIO DE BUCARAMANGA</v>
          </cell>
        </row>
        <row r="10">
          <cell r="A10">
            <v>68</v>
          </cell>
          <cell r="B10" t="str">
            <v>BUCARAMANGA EQUITATIVA E INCLUYENTE: UNA CIUDAD DE BIENESTAR</v>
          </cell>
          <cell r="C10" t="str">
            <v>Capacidades Y Oportunidades Para Superar Brechas Sociales</v>
          </cell>
          <cell r="D10" t="str">
            <v>Primera Infancia El Centro De La Sociedad</v>
          </cell>
          <cell r="E10" t="str">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ell>
          <cell r="G10">
            <v>2021680010003</v>
          </cell>
          <cell r="H10" t="str">
            <v>IMPLEMENTACIÓN DE ESTRATEGIAS PSICOPEDAGÓGICAS PARA LA DISMINUCIÓN DE FACTORES DE RIESGO EN NIÑOS, NIÑAS Y ADOLESCENTES EN EL MUNICIPIO DE BUCARAMANGA</v>
          </cell>
        </row>
        <row r="11">
          <cell r="A11">
            <v>68</v>
          </cell>
          <cell r="B11" t="str">
            <v>BUCARAMANGA EQUITATIVA E INCLUYENTE: UNA CIUDAD DE BIENESTAR</v>
          </cell>
          <cell r="C11" t="str">
            <v>Capacidades Y Oportunidades Para Superar Brechas Sociales</v>
          </cell>
          <cell r="D11" t="str">
            <v>Primera Infancia El Centro De La Sociedad</v>
          </cell>
          <cell r="E11" t="str">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ell>
          <cell r="G11">
            <v>2022680010056</v>
          </cell>
          <cell r="H11" t="str">
            <v>APOYO EN LOS PROCESOS DE ATENCIÓN INTEGRAL DE LOS NIÑOS Y NIÑAS EN EL ESPACIO DE CUIDADO Y ALBERGUE "CASA BÚHO" EN EL MUNICIPIO DE BUCARAMANGA</v>
          </cell>
        </row>
        <row r="12">
          <cell r="A12">
            <v>69</v>
          </cell>
          <cell r="B12" t="str">
            <v>BUCARAMANGA EQUITATIVA E INCLUYENTE: UNA CIUDAD DE BIENESTAR</v>
          </cell>
          <cell r="C12" t="str">
            <v>Capacidades Y Oportunidades Para Superar Brechas Sociales</v>
          </cell>
          <cell r="D12" t="str">
            <v>Primera Infancia El Centro De La Sociedad</v>
          </cell>
          <cell r="E12" t="str">
            <v>Entregar 4 dotaciones a espacios para la primera infancia con enfoque de inclusión que permita el desarrollo de habilidades.</v>
          </cell>
          <cell r="H12" t="str">
            <v>Meta no programada para la vigencia</v>
          </cell>
        </row>
        <row r="13">
          <cell r="A13">
            <v>70</v>
          </cell>
          <cell r="B13" t="str">
            <v>BUCARAMANGA EQUITATIVA E INCLUYENTE: UNA CIUDAD DE BIENESTAR</v>
          </cell>
          <cell r="C13" t="str">
            <v>Capacidades Y Oportunidades Para Superar Brechas Sociales</v>
          </cell>
          <cell r="D13" t="str">
            <v>Primera Infancia El Centro De La Sociedad</v>
          </cell>
          <cell r="E13" t="str">
            <v>Construir y/o adecuar 4 Centros de Desarrollo Infantil - CDI o Espacios para la Primera Infancia.</v>
          </cell>
          <cell r="G13">
            <v>2021680010003</v>
          </cell>
          <cell r="H13" t="str">
            <v>IMPLEMENTACIÓN DE ESTRATEGIAS PSICOPEDAGÓGICAS PARA LA DISMINUCIÓN DE FACTORES DE RIESGO EN NIÑOS, NIÑAS Y ADOLESCENTES EN EL MUNICIPIO DE BUCARAMANGA</v>
          </cell>
        </row>
        <row r="14">
          <cell r="A14">
            <v>71</v>
          </cell>
          <cell r="B14" t="str">
            <v>BUCARAMANGA EQUITATIVA E INCLUYENTE: UNA CIUDAD DE BIENESTAR</v>
          </cell>
          <cell r="C14" t="str">
            <v>Capacidades Y Oportunidades Para Superar Brechas Sociales</v>
          </cell>
          <cell r="D14" t="str">
            <v xml:space="preserve">Crece Conmigo: Una Infancia Feliz </v>
          </cell>
          <cell r="E14" t="str">
            <v>Formular e implementar 1 estrategia de corresponsabilidad en la garantía de derechos, la prevención de vulneración, amenaza o riesgo en el ámbito familiar, comunitario e institucional.</v>
          </cell>
          <cell r="G14">
            <v>2021680010003</v>
          </cell>
          <cell r="H14" t="str">
            <v>IMPLEMENTACIÓN DE ESTRATEGIAS PSICOPEDAGÓGICAS PARA LA DISMINUCIÓN DE FACTORES DE RIESGO EN NIÑOS, NIÑAS Y ADOLESCENTES EN EL MUNICIPIO DE BUCARAMANGA</v>
          </cell>
        </row>
        <row r="15">
          <cell r="A15">
            <v>71</v>
          </cell>
          <cell r="B15" t="str">
            <v>BUCARAMANGA EQUITATIVA E INCLUYENTE: UNA CIUDAD DE BIENESTAR</v>
          </cell>
          <cell r="C15" t="str">
            <v>Capacidades Y Oportunidades Para Superar Brechas Sociales</v>
          </cell>
          <cell r="D15" t="str">
            <v xml:space="preserve">Crece Conmigo: Una Infancia Feliz </v>
          </cell>
          <cell r="E15" t="str">
            <v>Formular e implementar 1 estrategia de corresponsabilidad en la garantía de derechos, la prevención de vulneración, amenaza o riesgo en el ámbito familiar, comunitario e institucional.</v>
          </cell>
          <cell r="G15">
            <v>2022680010056</v>
          </cell>
          <cell r="H15" t="str">
            <v>APOYO EN LOS PROCESOS DE ATENCIÓN INTEGRAL DE LOS NIÑOS Y NIÑAS EN EL ESPACIO DE CUIDADO Y ALBERGUE "CASA BÚHO" EN EL MUNICIPIO DE BUCARAMANGA</v>
          </cell>
        </row>
        <row r="16">
          <cell r="A16">
            <v>72</v>
          </cell>
          <cell r="B16" t="str">
            <v>BUCARAMANGA EQUITATIVA E INCLUYENTE: UNA CIUDAD DE BIENESTAR</v>
          </cell>
          <cell r="C16" t="str">
            <v>Capacidades Y Oportunidades Para Superar Brechas Sociales</v>
          </cell>
          <cell r="D16" t="str">
            <v xml:space="preserve">Crece Conmigo: Una Infancia Feliz </v>
          </cell>
          <cell r="E16" t="str">
            <v>Implementar 4 iniciativas que promueva la participación activa de niños y niñas desde la primera infancia en espacios de interés privados y públicos en los que se fortalezcan  habilidades para la vida, preparación para el proyecto de vida y el ejercicio de sus derechos.</v>
          </cell>
          <cell r="G16">
            <v>2021680010003</v>
          </cell>
          <cell r="H16" t="str">
            <v>IMPLEMENTACIÓN DE ESTRATEGIAS PSICOPEDAGÓGICAS PARA LA DISMINUCIÓN DE FACTORES DE RIESGO EN NIÑOS, NIÑAS Y ADOLESCENTES EN EL MUNICIPIO DE BUCARAMANGA</v>
          </cell>
        </row>
        <row r="17">
          <cell r="A17">
            <v>73</v>
          </cell>
          <cell r="B17" t="str">
            <v>BUCARAMANGA EQUITATIVA E INCLUYENTE: UNA CIUDAD DE BIENESTAR</v>
          </cell>
          <cell r="C17" t="str">
            <v>Capacidades Y Oportunidades Para Superar Brechas Sociales</v>
          </cell>
          <cell r="D17" t="str">
            <v xml:space="preserve">Crece Conmigo: Una Infancia Feliz </v>
          </cell>
          <cell r="E17" t="str">
            <v>Formular e implementar 1 programa para el reconocimiento de la construcción de la identidad de niños y niñas con una perspectiva de género dirigido a padres/madres y educadores.</v>
          </cell>
          <cell r="G17">
            <v>2021680010003</v>
          </cell>
          <cell r="H17" t="str">
            <v>IMPLEMENTACIÓN DE ESTRATEGIAS PSICOPEDAGÓGICAS PARA LA DISMINUCIÓN DE FACTORES DE RIESGO EN NIÑOS, NIÑAS Y ADOLESCENTES EN EL MUNICIPIO DE BUCARAMANGA</v>
          </cell>
        </row>
        <row r="18">
          <cell r="A18">
            <v>74</v>
          </cell>
          <cell r="B18" t="str">
            <v>BUCARAMANGA EQUITATIVA E INCLUYENTE: UNA CIUDAD DE BIENESTAR</v>
          </cell>
          <cell r="C18" t="str">
            <v>Capacidades Y Oportunidades Para Superar Brechas Sociales</v>
          </cell>
          <cell r="D18" t="str">
            <v xml:space="preserve">Crece Conmigo: Una Infancia Feliz </v>
          </cell>
          <cell r="E18" t="str">
            <v>Formular e implementar 1 estrategia para el fomento de prácticas de autoprotección y cuidado en niños y niñas para la prevención de conductas de riesgo (consumo de SPA, acciones delictivas, abandono familiar y escolar).</v>
          </cell>
          <cell r="G18">
            <v>2021680010003</v>
          </cell>
          <cell r="H18" t="str">
            <v>IMPLEMENTACIÓN DE ESTRATEGIAS PSICOPEDAGÓGICAS PARA LA DISMINUCIÓN DE FACTORES DE RIESGO EN NIÑOS, NIÑAS Y ADOLESCENTES EN EL MUNICIPIO DE BUCARAMANGA</v>
          </cell>
        </row>
        <row r="19">
          <cell r="A19">
            <v>75</v>
          </cell>
          <cell r="B19" t="str">
            <v>BUCARAMANGA EQUITATIVA E INCLUYENTE: UNA CIUDAD DE BIENESTAR</v>
          </cell>
          <cell r="C19" t="str">
            <v>Capacidades Y Oportunidades Para Superar Brechas Sociales</v>
          </cell>
          <cell r="D19" t="str">
            <v xml:space="preserve">Crece Conmigo: Una Infancia Feliz </v>
          </cell>
          <cell r="E19" t="str">
            <v>Formular e implementar 1 estrategia comunitaria y familiar para la prevención y erradicación del trabajo infantil en niños, niñas y adolescentes de acuerdo a los lineamientos del Plan Nacional  de Erradicación del trabajo infantil y sus peores formas.</v>
          </cell>
          <cell r="G19">
            <v>2021680010003</v>
          </cell>
          <cell r="H19" t="str">
            <v>IMPLEMENTACIÓN DE ESTRATEGIAS PSICOPEDAGÓGICAS PARA LA DISMINUCIÓN DE FACTORES DE RIESGO EN NIÑOS, NIÑAS Y ADOLESCENTES EN EL MUNICIPIO DE BUCARAMANGA</v>
          </cell>
        </row>
        <row r="20">
          <cell r="A20">
            <v>76</v>
          </cell>
          <cell r="B20" t="str">
            <v>BUCARAMANGA EQUITATIVA E INCLUYENTE: UNA CIUDAD DE BIENESTAR</v>
          </cell>
          <cell r="C20" t="str">
            <v>Capacidades Y Oportunidades Para Superar Brechas Sociales</v>
          </cell>
          <cell r="D20" t="str">
            <v xml:space="preserve">Crece Conmigo: Una Infancia Feliz </v>
          </cell>
          <cell r="E20" t="str">
            <v>Implementar y mantener la Ruta de Prevención, Detección y Atención Interinstitucional frente casos de niños, niñas y adolescentes victimas de bullying, abuso, acoso y/o explotación sexual.</v>
          </cell>
          <cell r="G20">
            <v>2021680010003</v>
          </cell>
          <cell r="H20" t="str">
            <v>IMPLEMENTACIÓN DE ESTRATEGIAS PSICOPEDAGÓGICAS PARA LA DISMINUCIÓN DE FACTORES DE RIESGO EN NIÑOS, NIÑAS Y ADOLESCENTES EN EL MUNICIPIO DE BUCARAMANGA</v>
          </cell>
        </row>
        <row r="21">
          <cell r="A21">
            <v>77</v>
          </cell>
          <cell r="B21" t="str">
            <v>BUCARAMANGA EQUITATIVA E INCLUYENTE: UNA CIUDAD DE BIENESTAR</v>
          </cell>
          <cell r="C21" t="str">
            <v>Capacidades Y Oportunidades Para Superar Brechas Sociales</v>
          </cell>
          <cell r="D21" t="str">
            <v xml:space="preserve">Crece Conmigo: Una Infancia Feliz </v>
          </cell>
          <cell r="E21" t="str">
            <v>Realizar 4 jornadas de conmemoración del día de la niñez.</v>
          </cell>
          <cell r="G21">
            <v>2021680010003</v>
          </cell>
          <cell r="H21" t="str">
            <v>IMPLEMENTACIÓN DE ESTRATEGIAS PSICOPEDAGÓGICAS PARA LA DISMINUCIÓN DE FACTORES DE RIESGO EN NIÑOS, NIÑAS Y ADOLESCENTES EN EL MUNICIPIO DE BUCARAMANGA</v>
          </cell>
        </row>
        <row r="22">
          <cell r="A22">
            <v>78</v>
          </cell>
          <cell r="B22" t="str">
            <v>BUCARAMANGA EQUITATIVA E INCLUYENTE: UNA CIUDAD DE BIENESTAR</v>
          </cell>
          <cell r="C22" t="str">
            <v>Capacidades Y Oportunidades Para Superar Brechas Sociales</v>
          </cell>
          <cell r="D22" t="str">
            <v xml:space="preserve">Crece Conmigo: Una Infancia Feliz </v>
          </cell>
          <cell r="E22" t="str">
            <v>Formular e implementar 1 ruta de atención integral para niños, niñas, adolescentes refugiados y migrantes y sus familias.</v>
          </cell>
          <cell r="G22">
            <v>2021680010003</v>
          </cell>
          <cell r="H22" t="str">
            <v>IMPLEMENTACIÓN DE ESTRATEGIAS PSICOPEDAGÓGICAS PARA LA DISMINUCIÓN DE FACTORES DE RIESGO EN NIÑOS, NIÑAS Y ADOLESCENTES EN EL MUNICIPIO DE BUCARAMANGA</v>
          </cell>
        </row>
        <row r="23">
          <cell r="A23">
            <v>78</v>
          </cell>
          <cell r="B23" t="str">
            <v>BUCARAMANGA EQUITATIVA E INCLUYENTE: UNA CIUDAD DE BIENESTAR</v>
          </cell>
          <cell r="C23" t="str">
            <v>Capacidades Y Oportunidades Para Superar Brechas Sociales</v>
          </cell>
          <cell r="D23" t="str">
            <v xml:space="preserve">Crece Conmigo: Una Infancia Feliz </v>
          </cell>
          <cell r="E23" t="str">
            <v>Formular e implementar 1 ruta de atención integral para niños, niñas, adolescentes refugiados y migrantes y sus familias.</v>
          </cell>
          <cell r="G23">
            <v>2022680010056</v>
          </cell>
          <cell r="H23" t="str">
            <v>APOYO EN LOS PROCESOS DE ATENCIÓN INTEGRAL DE LOS NIÑOS Y NIÑAS EN EL ESPACIO DE CUIDADO Y ALBERGUE "CASA BÚHO" EN EL MUNICIPIO DE BUCARAMANGA</v>
          </cell>
        </row>
        <row r="24">
          <cell r="A24">
            <v>79</v>
          </cell>
          <cell r="B24" t="str">
            <v>BUCARAMANGA EQUITATIVA E INCLUYENTE: UNA CIUDAD DE BIENESTAR</v>
          </cell>
          <cell r="C24" t="str">
            <v>Capacidades Y Oportunidades Para Superar Brechas Sociales</v>
          </cell>
          <cell r="D24" t="str">
            <v>Construcción De Entornos Para Una Adolescencia Sana</v>
          </cell>
          <cell r="E24" t="str">
            <v>Formular e implementar 1 programa de familias fuertes: amor y límite que permita fortalecer a las familias como agente protector ante las conductas de riesgo en los adolescentes.</v>
          </cell>
          <cell r="G24">
            <v>2021680010003</v>
          </cell>
          <cell r="H24" t="str">
            <v>IMPLEMENTACIÓN DE ESTRATEGIAS PSICOPEDAGÓGICAS PARA LA DISMINUCIÓN DE FACTORES DE RIESGO EN NIÑOS, NIÑAS Y ADOLESCENTES EN EL MUNICIPIO DE BUCARAMANGA</v>
          </cell>
        </row>
        <row r="25">
          <cell r="A25">
            <v>80</v>
          </cell>
          <cell r="B25" t="str">
            <v>BUCARAMANGA EQUITATIVA E INCLUYENTE: UNA CIUDAD DE BIENESTAR</v>
          </cell>
          <cell r="C25" t="str">
            <v>Capacidades Y Oportunidades Para Superar Brechas Sociales</v>
          </cell>
          <cell r="D25" t="str">
            <v>Construcción De Entornos Para Una Adolescencia Sana</v>
          </cell>
          <cell r="E25" t="str">
            <v>Brindar 150.000 entradas gratuitas de niñas, niños y adolescentes y sus familias a  eventos artísticos, culturales, lúdicos y recreativos.</v>
          </cell>
          <cell r="G25">
            <v>2021680010003</v>
          </cell>
          <cell r="H25" t="str">
            <v>IMPLEMENTACIÓN DE ESTRATEGIAS PSICOPEDAGÓGICAS PARA LA DISMINUCIÓN DE FACTORES DE RIESGO EN NIÑOS, NIÑAS Y ADOLESCENTES EN EL MUNICIPIO DE BUCARAMANGA</v>
          </cell>
        </row>
        <row r="26">
          <cell r="A26">
            <v>81</v>
          </cell>
          <cell r="B26" t="str">
            <v>BUCARAMANGA EQUITATIVA E INCLUYENTE: UNA CIUDAD DE BIENESTAR</v>
          </cell>
          <cell r="C26" t="str">
            <v>Capacidades Y Oportunidades Para Superar Brechas Sociales</v>
          </cell>
          <cell r="D26" t="str">
            <v>Construcción De Entornos Para Una Adolescencia Sana</v>
          </cell>
          <cell r="E26" t="str">
            <v>Desarrollar 3 jornadas de uso creativo del tiempo y emprendimiento que potencien sus competencias y motiven continuar en diferentes niveles de educación superior.</v>
          </cell>
          <cell r="G26">
            <v>2021680010003</v>
          </cell>
          <cell r="H26" t="str">
            <v>IMPLEMENTACIÓN DE ESTRATEGIAS PSICOPEDAGÓGICAS PARA LA DISMINUCIÓN DE FACTORES DE RIESGO EN NIÑOS, NIÑAS Y ADOLESCENTES EN EL MUNICIPIO DE BUCARAMANGA</v>
          </cell>
        </row>
        <row r="27">
          <cell r="A27">
            <v>82</v>
          </cell>
          <cell r="B27" t="str">
            <v>BUCARAMANGA EQUITATIVA E INCLUYENTE: UNA CIUDAD DE BIENESTAR</v>
          </cell>
          <cell r="C27" t="str">
            <v>Capacidades Y Oportunidades Para Superar Brechas Sociales</v>
          </cell>
          <cell r="D27" t="str">
            <v>Construcción De Entornos Para Una Adolescencia Sana</v>
          </cell>
          <cell r="E27" t="str">
            <v xml:space="preserve">Mantener el servicio exequial al 100% de los niños, niñas y adolescentes en extrema vulnerabilidad que fallezcan y que sus familias así lo requieran. </v>
          </cell>
          <cell r="G27">
            <v>2021680010003</v>
          </cell>
          <cell r="H27" t="str">
            <v>IMPLEMENTACIÓN DE ESTRATEGIAS PSICOPEDAGÓGICAS PARA LA DISMINUCIÓN DE FACTORES DE RIESGO EN NIÑOS, NIÑAS Y ADOLESCENTES EN EL MUNICIPIO DE BUCARAMANGA</v>
          </cell>
        </row>
        <row r="28">
          <cell r="A28">
            <v>83</v>
          </cell>
          <cell r="B28" t="str">
            <v>BUCARAMANGA EQUITATIVA E INCLUYENTE: UNA CIUDAD DE BIENESTAR</v>
          </cell>
          <cell r="C28" t="str">
            <v>Capacidades Y Oportunidades Para Superar Brechas Sociales</v>
          </cell>
          <cell r="D28" t="str">
            <v>Construcción De Entornos Para Una Adolescencia Sana</v>
          </cell>
          <cell r="E28" t="str">
            <v>Implementar y mantener 1 proceso de liderazgo b-learning orientada al fortalecimiento de la participación de niños, niñas, adolescentes y jóvenes.</v>
          </cell>
          <cell r="G28">
            <v>2021680010003</v>
          </cell>
          <cell r="H28" t="str">
            <v>IMPLEMENTACIÓN DE ESTRATEGIAS PSICOPEDAGÓGICAS PARA LA DISMINUCIÓN DE FACTORES DE RIESGO EN NIÑOS, NIÑAS Y ADOLESCENTES EN EL MUNICIPIO DE BUCARAMANGA</v>
          </cell>
        </row>
        <row r="29">
          <cell r="A29">
            <v>84</v>
          </cell>
          <cell r="B29" t="str">
            <v>BUCARAMANGA EQUITATIVA E INCLUYENTE: UNA CIUDAD DE BIENESTAR</v>
          </cell>
          <cell r="C29" t="str">
            <v>Capacidades Y Oportunidades Para Superar Brechas Sociales</v>
          </cell>
          <cell r="D29" t="str">
            <v>Construcción De Entornos Para Una Adolescencia Sana</v>
          </cell>
          <cell r="E29" t="str">
            <v>Sistematizar 4 buenas prácticas que aporten al desarrollo de las realizaciones establecidas para los niños, niñas y adolescentes en el marco del proceso de rendición pública de cuentas.</v>
          </cell>
          <cell r="G29">
            <v>2021680010003</v>
          </cell>
          <cell r="H29" t="str">
            <v>IMPLEMENTACIÓN DE ESTRATEGIAS PSICOPEDAGÓGICAS PARA LA DISMINUCIÓN DE FACTORES DE RIESGO EN NIÑOS, NIÑAS Y ADOLESCENTES EN EL MUNICIPIO DE BUCARAMANGA</v>
          </cell>
        </row>
        <row r="30">
          <cell r="A30">
            <v>88</v>
          </cell>
          <cell r="B30" t="str">
            <v>BUCARAMANGA EQUITATIVA E INCLUYENTE: UNA CIUDAD DE BIENESTAR</v>
          </cell>
          <cell r="C30" t="str">
            <v>Capacidades Y Oportunidades Para Superar Brechas Sociales</v>
          </cell>
          <cell r="D30" t="str">
            <v>Adulto Mayor Y Digno</v>
          </cell>
          <cell r="E30" t="str">
            <v>Beneficiar y mantener a 11.000 personas mayores con el programa Colombia Mayor.</v>
          </cell>
          <cell r="G30">
            <v>2020680010040</v>
          </cell>
          <cell r="H30" t="str">
            <v>IMPLEMENTACIÓN DE ACCIONES TENDIENTES A MEJORAR LAS CONDICIONES DE LOS ADULTOS MAYORES DEL MUNICIPIO DE BUCARAMANGA</v>
          </cell>
        </row>
        <row r="31">
          <cell r="A31">
            <v>89</v>
          </cell>
          <cell r="B31" t="str">
            <v>BUCARAMANGA EQUITATIVA E INCLUYENTE: UNA CIUDAD DE BIENESTAR</v>
          </cell>
          <cell r="C31" t="str">
            <v>Capacidades Y Oportunidades Para Superar Brechas Sociales</v>
          </cell>
          <cell r="D31" t="str">
            <v>Adulto Mayor Y Digno</v>
          </cell>
          <cell r="E31" t="str">
            <v>Proveer 25.000 ayudas alimentarias anuales mediante complementos nutricionales para personas mayores en condición de pobreza y vulnerabilidad mejorando su calidad de vida a través de la seguridad alimentaria.</v>
          </cell>
          <cell r="G31">
            <v>2020680010040</v>
          </cell>
          <cell r="H31" t="str">
            <v>IMPLEMENTACIÓN DE ACCIONES TENDIENTES A MEJORAR LAS CONDICIONES DE LOS ADULTOS MAYORES DEL MUNICIPIO DE BUCARAMANGA</v>
          </cell>
        </row>
        <row r="32">
          <cell r="A32">
            <v>90</v>
          </cell>
          <cell r="B32" t="str">
            <v>BUCARAMANGA EQUITATIVA E INCLUYENTE: UNA CIUDAD DE BIENESTAR</v>
          </cell>
          <cell r="C32" t="str">
            <v>Capacidades Y Oportunidades Para Superar Brechas Sociales</v>
          </cell>
          <cell r="D32" t="str">
            <v>Adulto Mayor Y Digno</v>
          </cell>
          <cell r="E32" t="str">
            <v>Beneficiar a 7.000 personas mayores vulnerables de los diferentes barrios del municipio con la oferta de servicios de atencion primaria en salud, recreacion y aprovechamiento del tiempo libre.</v>
          </cell>
          <cell r="G32">
            <v>2020680010040</v>
          </cell>
          <cell r="H32" t="str">
            <v>IMPLEMENTACIÓN DE ACCIONES TENDIENTES A MEJORAR LAS CONDICIONES DE LOS ADULTOS MAYORES DEL MUNICIPIO DE BUCARAMANGA</v>
          </cell>
        </row>
        <row r="33">
          <cell r="A33">
            <v>91</v>
          </cell>
          <cell r="B33" t="str">
            <v>BUCARAMANGA EQUITATIVA E INCLUYENTE: UNA CIUDAD DE BIENESTAR</v>
          </cell>
          <cell r="C33" t="str">
            <v>Capacidades Y Oportunidades Para Superar Brechas Sociales</v>
          </cell>
          <cell r="D33" t="str">
            <v>Adulto Mayor Y Digno</v>
          </cell>
          <cell r="E33" t="str">
            <v>Mantener el servicio exequial al 100% de las personas mayores fallecidas en condición de pobreza, vulnerabilidad y sin red familiar de apoyo.</v>
          </cell>
          <cell r="G33">
            <v>2020680010040</v>
          </cell>
          <cell r="H33" t="str">
            <v>IMPLEMENTACIÓN DE ACCIONES TENDIENTES A MEJORAR LAS CONDICIONES DE LOS ADULTOS MAYORES DEL MUNICIPIO DE BUCARAMANGA</v>
          </cell>
        </row>
        <row r="34">
          <cell r="A34">
            <v>92</v>
          </cell>
          <cell r="B34" t="str">
            <v>BUCARAMANGA EQUITATIVA E INCLUYENTE: UNA CIUDAD DE BIENESTAR</v>
          </cell>
          <cell r="C34" t="str">
            <v>Capacidades Y Oportunidades Para Superar Brechas Sociales</v>
          </cell>
          <cell r="D34" t="str">
            <v>Adulto Mayor Y Digno</v>
          </cell>
          <cell r="E34" t="str">
            <v>Mantener a 1.656 personas mayores vulnerables con atencion integral en instituciones especializadas a través de las modalidades centros vida y centros de bienestar en el marco de la Ley 1276 de 2009.</v>
          </cell>
          <cell r="G34">
            <v>2020680010040</v>
          </cell>
          <cell r="H34" t="str">
            <v>IMPLEMENTACIÓN DE ACCIONES TENDIENTES A MEJORAR LAS CONDICIONES DE LOS ADULTOS MAYORES DEL MUNICIPIO DE BUCARAMANGA</v>
          </cell>
        </row>
        <row r="35">
          <cell r="A35">
            <v>93</v>
          </cell>
          <cell r="B35" t="str">
            <v>BUCARAMANGA EQUITATIVA E INCLUYENTE: UNA CIUDAD DE BIENESTAR</v>
          </cell>
          <cell r="C35" t="str">
            <v>Capacidades Y Oportunidades Para Superar Brechas Sociales</v>
          </cell>
          <cell r="D35" t="str">
            <v>Adulto Mayor Y Digno</v>
          </cell>
          <cell r="E35" t="str">
            <v>Mantener en funcionamiento los 3 Centros Vida con la prestacion de servicios integrales y/o dotacion de los mismos cumpliendo con la oferta institucional.</v>
          </cell>
          <cell r="G35">
            <v>2020680010040</v>
          </cell>
          <cell r="H35" t="str">
            <v>IMPLEMENTACIÓN DE ACCIONES TENDIENTES A MEJORAR LAS CONDICIONES DE LOS ADULTOS MAYORES DEL MUNICIPIO DE BUCARAMANGA</v>
          </cell>
        </row>
        <row r="36">
          <cell r="A36">
            <v>94</v>
          </cell>
          <cell r="B36" t="str">
            <v>BUCARAMANGA EQUITATIVA E INCLUYENTE: UNA CIUDAD DE BIENESTAR</v>
          </cell>
          <cell r="C36" t="str">
            <v>Capacidades Y Oportunidades Para Superar Brechas Sociales</v>
          </cell>
          <cell r="D36" t="str">
            <v>Adulto Mayor Y Digno</v>
          </cell>
          <cell r="E36" t="str">
            <v>Mantener el servicio atención primaria en salud, atención psicosocial que promueva la salud física, salud mental y el bienestar social de las personas mayores en los centros vida.</v>
          </cell>
          <cell r="G36">
            <v>2020680010040</v>
          </cell>
          <cell r="H36" t="str">
            <v>IMPLEMENTACIÓN DE ACCIONES TENDIENTES A MEJORAR LAS CONDICIONES DE LOS ADULTOS MAYORES DEL MUNICIPIO DE BUCARAMANGA</v>
          </cell>
        </row>
        <row r="37">
          <cell r="A37">
            <v>95</v>
          </cell>
          <cell r="B37" t="str">
            <v>BUCARAMANGA EQUITATIVA E INCLUYENTE: UNA CIUDAD DE BIENESTAR</v>
          </cell>
          <cell r="C37" t="str">
            <v>Capacidades Y Oportunidades Para Superar Brechas Sociales</v>
          </cell>
          <cell r="D37" t="str">
            <v>Adulto Mayor Y Digno</v>
          </cell>
          <cell r="E37" t="str">
            <v>Formular e implementar 1 estrategia que promueva  las actividades psicosociales, actividades artísticas y culturales,   actividades físicas y recreación y actividades productivas en las personas mayores.</v>
          </cell>
          <cell r="G37">
            <v>2020680010040</v>
          </cell>
          <cell r="H37" t="str">
            <v>IMPLEMENTACIÓN DE ACCIONES TENDIENTES A MEJORAR LAS CONDICIONES DE LOS ADULTOS MAYORES DEL MUNICIPIO DE BUCARAMANGA</v>
          </cell>
        </row>
        <row r="38">
          <cell r="A38">
            <v>96</v>
          </cell>
          <cell r="B38" t="str">
            <v>BUCARAMANGA EQUITATIVA E INCLUYENTE: UNA CIUDAD DE BIENESTAR</v>
          </cell>
          <cell r="C38" t="str">
            <v>Capacidades Y Oportunidades Para Superar Brechas Sociales</v>
          </cell>
          <cell r="D38" t="str">
            <v>Aceleradores De Desarrollo Social</v>
          </cell>
          <cell r="E38" t="str">
            <v>Formular e implementar 1 estrategia que promueva la democratización familiar apoyada en el componente de bienestar comunitario del programa Familias en Acción con impacto en barrios priorizados por NBI.</v>
          </cell>
          <cell r="G38">
            <v>2020680010072</v>
          </cell>
          <cell r="H38" t="str">
            <v>APOYO A LA OPERATIVIDAD DEL PROGRAMA NACIONAL MÁS FAMILIAS EN ACCIÓN EN EL MUNICIPIO DE BUCARAMANGA</v>
          </cell>
        </row>
        <row r="39">
          <cell r="A39">
            <v>97</v>
          </cell>
          <cell r="B39" t="str">
            <v>BUCARAMANGA EQUITATIVA E INCLUYENTE: UNA CIUDAD DE BIENESTAR</v>
          </cell>
          <cell r="C39" t="str">
            <v>Capacidades Y Oportunidades Para Superar Brechas Sociales</v>
          </cell>
          <cell r="D39" t="str">
            <v>Aceleradores De Desarrollo Social</v>
          </cell>
          <cell r="E39" t="str">
            <v>Mantener el servicio de acceso gratuito a espacios de recreación y cultura a familias inscritas en el programa Familias en Acción.</v>
          </cell>
          <cell r="G39">
            <v>2020680010072</v>
          </cell>
          <cell r="H39" t="str">
            <v>APOYO A LA OPERATIVIDAD DEL PROGRAMA NACIONAL MÁS FAMILIAS EN ACCIÓN EN EL MUNICIPIO DE BUCARAMANGA</v>
          </cell>
        </row>
        <row r="40">
          <cell r="A40">
            <v>98</v>
          </cell>
          <cell r="B40" t="str">
            <v>BUCARAMANGA EQUITATIVA E INCLUYENTE: UNA CIUDAD DE BIENESTAR</v>
          </cell>
          <cell r="C40" t="str">
            <v>Capacidades Y Oportunidades Para Superar Brechas Sociales</v>
          </cell>
          <cell r="D40" t="str">
            <v>Aceleradores De Desarrollo Social</v>
          </cell>
          <cell r="E40" t="str">
            <v>Mantener el 100% del apoyo logístico a las familias beneficiadas del programa Familias en Acción.</v>
          </cell>
          <cell r="G40">
            <v>2020680010072</v>
          </cell>
          <cell r="H40" t="str">
            <v>APOYO A LA OPERATIVIDAD DEL PROGRAMA NACIONAL MÁS FAMILIAS EN ACCIÓN EN EL MUNICIPIO DE BUCARAMANGA</v>
          </cell>
        </row>
        <row r="41">
          <cell r="A41">
            <v>99</v>
          </cell>
          <cell r="B41" t="str">
            <v>BUCARAMANGA EQUITATIVA E INCLUYENTE: UNA CIUDAD DE BIENESTAR</v>
          </cell>
          <cell r="C41" t="str">
            <v>Capacidades Y Oportunidades Para Superar Brechas Sociales</v>
          </cell>
          <cell r="D41" t="str">
            <v>Aceleradores De Desarrollo Social</v>
          </cell>
          <cell r="E41" t="str">
            <v>Formular e implementar 1 estrategia para brindar asistencia social a la población afectada por las diferentes emergencias y particularmente COVID-19.</v>
          </cell>
          <cell r="G41">
            <v>2022680010036</v>
          </cell>
          <cell r="H41" t="str">
            <v>IMPLEMENTACIÓN DE ACCIONES DE ASISTENCIA SOCIAL ORIENTADAS A LA POBLACIÓN AFECTADA POR LAS DIFERENTES EMERGENCIAS SOCIALES, NATURALES, SANITARIAS ANTRÓPICAS O EN SITUACIÓN DE VULNERABILIDAD EN EL MUNICIPIO DE BUCARAMANGA</v>
          </cell>
        </row>
        <row r="42">
          <cell r="A42">
            <v>100</v>
          </cell>
          <cell r="B42" t="str">
            <v>BUCARAMANGA EQUITATIVA E INCLUYENTE: UNA CIUDAD DE BIENESTAR</v>
          </cell>
          <cell r="C42" t="str">
            <v>Capacidades Y Oportunidades Para Superar Brechas Sociales</v>
          </cell>
          <cell r="D42" t="str">
            <v>Más Equidad Para Las Mujeres</v>
          </cell>
          <cell r="E42" t="str">
            <v>Potenciar la Escuela de Liderazgo y Participación Política de Mujeres con cobertura en zona rural y urbana.</v>
          </cell>
          <cell r="G42">
            <v>2020680010106</v>
          </cell>
          <cell r="H42" t="str">
            <v>FORTALECIMIENTO DE ESPACIOS DE PARTICIPACIÓN Y PREVENCIÓN DE VIOLENCIAS EN MUJERES Y POBLACIÓN CON ORIENTACIONES SEXUALES E IDENTIDADES DE GÉNERO DIVERSAS DEL MUNICIPIO DE BUCARAMANGA</v>
          </cell>
        </row>
        <row r="43">
          <cell r="A43">
            <v>101</v>
          </cell>
          <cell r="B43" t="str">
            <v>BUCARAMANGA EQUITATIVA E INCLUYENTE: UNA CIUDAD DE BIENESTAR</v>
          </cell>
          <cell r="C43" t="str">
            <v>Capacidades Y Oportunidades Para Superar Brechas Sociales</v>
          </cell>
          <cell r="D43" t="str">
            <v>Más Equidad Para Las Mujeres</v>
          </cell>
          <cell r="E43" t="str">
            <v>Atender y mantener de manera integral desde el componente psicosociojurídico y social a 600 mujeres, niñas y personas considerando los enfoques diferenciales y diversidad sexual.</v>
          </cell>
          <cell r="G43">
            <v>2023680010015</v>
          </cell>
          <cell r="H43" t="str">
            <v>FORTALECIMIENTO DE ACCIONES ORIENTADAS AL CIERRE DE BRECHAS DE GÉNERO PARA MUJERES Y POBLACIÓN CON ORIENTACIONES SEXUALES E IDENTIDADES DE GÉNERO DIVERSAS DEL MUNICIPIO DE BUCARAMANGA</v>
          </cell>
        </row>
        <row r="44">
          <cell r="A44">
            <v>101</v>
          </cell>
          <cell r="B44" t="str">
            <v>BUCARAMANGA EQUITATIVA E INCLUYENTE: UNA CIUDAD DE BIENESTAR</v>
          </cell>
          <cell r="C44" t="str">
            <v>Capacidades Y Oportunidades Para Superar Brechas Sociales</v>
          </cell>
          <cell r="D44" t="str">
            <v>Más Equidad Para Las Mujeres</v>
          </cell>
          <cell r="E44" t="str">
            <v>Atender y mantener de manera integral desde el componente psicosociojurídico y social a 600 mujeres, niñas y personas considerando los enfoques diferenciales y diversidad sexual.</v>
          </cell>
          <cell r="G44">
            <v>2020680010106</v>
          </cell>
          <cell r="H44" t="str">
            <v>FORTALECIMIENTO DE ESPACIOS DE PARTICIPACIÓN Y PREVENCIÓN DE VIOLENCIAS EN MUJERES Y POBLACIÓN CON ORIENTACIONES SEXUALES E IDENTIDADES DE GÉNERO DIVERSAS DEL MUNICIPIO DE BUCARAMANGA</v>
          </cell>
        </row>
        <row r="45">
          <cell r="A45">
            <v>102</v>
          </cell>
          <cell r="B45" t="str">
            <v>BUCARAMANGA EQUITATIVA E INCLUYENTE: UNA CIUDAD DE BIENESTAR</v>
          </cell>
          <cell r="C45" t="str">
            <v>Capacidades Y Oportunidades Para Superar Brechas Sociales</v>
          </cell>
          <cell r="D45" t="str">
            <v>Más Equidad Para Las Mujeres</v>
          </cell>
          <cell r="E45" t="str">
            <v>Mantener y fortalecer la ruta de atención a víctimas de acoso sexual y violencia de género a través redes comunitarias de prevención en zonas priorizadas del área rural y urbana de la ciudad y consolidación de alianzas con otras entidades.</v>
          </cell>
          <cell r="G45">
            <v>2020680010106</v>
          </cell>
          <cell r="H45" t="str">
            <v>FORTALECIMIENTO DE ESPACIOS DE PARTICIPACIÓN Y PREVENCIÓN DE VIOLENCIAS EN MUJERES Y POBLACIÓN CON ORIENTACIONES SEXUALES E IDENTIDADES DE GÉNERO DIVERSAS DEL MUNICIPIO DE BUCARAMANGA</v>
          </cell>
        </row>
        <row r="46">
          <cell r="A46">
            <v>102</v>
          </cell>
          <cell r="B46" t="str">
            <v>BUCARAMANGA EQUITATIVA E INCLUYENTE: UNA CIUDAD DE BIENESTAR</v>
          </cell>
          <cell r="C46" t="str">
            <v>Capacidades Y Oportunidades Para Superar Brechas Sociales</v>
          </cell>
          <cell r="D46" t="str">
            <v>Más Equidad Para Las Mujeres</v>
          </cell>
          <cell r="E46" t="str">
            <v>Mantener y fortalecer la ruta de atención a víctimas de acoso sexual y violencia de género a través redes comunitarias de prevención en zonas priorizadas del área rural y urbana de la ciudad y consolidación de alianzas con otras entidades.</v>
          </cell>
          <cell r="G46">
            <v>2023680010015</v>
          </cell>
          <cell r="H46" t="str">
            <v>FORTALECIMIENTO DE ACCIONES ORIENTADAS AL CIERRE DE BRECHAS DE GÉNERO PARA MUJERES Y POBLACIÓN CON ORIENTACIONES SEXUALES E IDENTIDADES DE GÉNERO DIVERSAS DEL MUNICIPIO DE BUCARAMANGA</v>
          </cell>
        </row>
        <row r="47">
          <cell r="A47">
            <v>103</v>
          </cell>
          <cell r="B47" t="str">
            <v>BUCARAMANGA EQUITATIVA E INCLUYENTE: UNA CIUDAD DE BIENESTAR</v>
          </cell>
          <cell r="C47" t="str">
            <v>Capacidades Y Oportunidades Para Superar Brechas Sociales</v>
          </cell>
          <cell r="D47" t="str">
            <v>Más Equidad Para Las Mujeres</v>
          </cell>
          <cell r="E47" t="str">
            <v>Mantener la garantía de las medidas de atención y protección al 100% de mujeres y sus hijos víctimas de violencia de género con especial situación de riesgos.</v>
          </cell>
          <cell r="G47">
            <v>2023680010015</v>
          </cell>
          <cell r="H47" t="str">
            <v>FORTALECIMIENTO DE ACCIONES ORIENTADAS AL CIERRE DE BRECHAS DE GÉNERO PARA MUJERES Y POBLACIÓN CON ORIENTACIONES SEXUALES E IDENTIDADES DE GÉNERO DIVERSAS DEL MUNICIPIO DE BUCARAMANGA</v>
          </cell>
        </row>
        <row r="48">
          <cell r="A48">
            <v>103</v>
          </cell>
          <cell r="B48" t="str">
            <v>BUCARAMANGA EQUITATIVA E INCLUYENTE: UNA CIUDAD DE BIENESTAR</v>
          </cell>
          <cell r="C48" t="str">
            <v>Capacidades Y Oportunidades Para Superar Brechas Sociales</v>
          </cell>
          <cell r="D48" t="str">
            <v>Más Equidad Para Las Mujeres</v>
          </cell>
          <cell r="E48" t="str">
            <v>Mantener la garantía de las medidas de atención y protección al 100% de mujeres y sus hijos víctimas de violencia de género con especial situación de riesgos.</v>
          </cell>
          <cell r="G48">
            <v>2020680010106</v>
          </cell>
          <cell r="H48" t="str">
            <v>FORTALECIMIENTO DE ESPACIOS DE PARTICIPACIÓN Y PREVENCIÓN DE VIOLENCIAS EN MUJERES Y POBLACIÓN CON ORIENTACIONES SEXUALES E IDENTIDADES DE GÉNERO DIVERSAS DEL MUNICIPIO DE BUCARAMANGA</v>
          </cell>
        </row>
        <row r="49">
          <cell r="A49">
            <v>104</v>
          </cell>
          <cell r="B49" t="str">
            <v>BUCARAMANGA EQUITATIVA E INCLUYENTE: UNA CIUDAD DE BIENESTAR</v>
          </cell>
          <cell r="C49" t="str">
            <v>Capacidades Y Oportunidades Para Superar Brechas Sociales</v>
          </cell>
          <cell r="D49" t="str">
            <v>Más Equidad Para Las Mujeres</v>
          </cell>
          <cell r="E49" t="str">
            <v>Mantener la estrategia de prevención con hombres de contextos públicos y privados mediante procesos de intervención colectiva en torno a la resignificación crítica de la masculinidad hegemónica y tradicional.</v>
          </cell>
          <cell r="G49">
            <v>2020680010106</v>
          </cell>
          <cell r="H49" t="str">
            <v>FORTALECIMIENTO DE ESPACIOS DE PARTICIPACIÓN Y PREVENCIÓN DE VIOLENCIAS EN MUJERES Y POBLACIÓN CON ORIENTACIONES SEXUALES E IDENTIDADES DE GÉNERO DIVERSAS DEL MUNICIPIO DE BUCARAMANGA</v>
          </cell>
        </row>
        <row r="50">
          <cell r="A50">
            <v>104</v>
          </cell>
          <cell r="B50" t="str">
            <v>BUCARAMANGA EQUITATIVA E INCLUYENTE: UNA CIUDAD DE BIENESTAR</v>
          </cell>
          <cell r="C50" t="str">
            <v>Capacidades Y Oportunidades Para Superar Brechas Sociales</v>
          </cell>
          <cell r="D50" t="str">
            <v>Más Equidad Para Las Mujeres</v>
          </cell>
          <cell r="E50" t="str">
            <v>Mantener la estrategia de prevención con hombres de contextos públicos y privados mediante procesos de intervención colectiva en torno a la resignificación crítica de la masculinidad hegemónica y tradicional.</v>
          </cell>
          <cell r="G50">
            <v>2023680010015</v>
          </cell>
          <cell r="H50" t="str">
            <v>FORTALECIMIENTO DE ACCIONES ORIENTADAS AL CIERRE DE BRECHAS DE GÉNERO PARA MUJERES Y POBLACIÓN CON ORIENTACIONES SEXUALES E IDENTIDADES DE GÉNERO DIVERSAS DEL MUNICIPIO DE BUCARAMANGA</v>
          </cell>
        </row>
        <row r="51">
          <cell r="A51">
            <v>105</v>
          </cell>
          <cell r="B51" t="str">
            <v>BUCARAMANGA EQUITATIVA E INCLUYENTE: UNA CIUDAD DE BIENESTAR</v>
          </cell>
          <cell r="C51" t="str">
            <v>Capacidades Y Oportunidades Para Superar Brechas Sociales</v>
          </cell>
          <cell r="D51" t="str">
            <v>Más Equidad Para Las Mujeres</v>
          </cell>
          <cell r="E51" t="str">
            <v>Mantener el Centro Integral de la Mujer a fin de garantizar el fortalecimiento de los procesos de atención y empoderamiento femenino.</v>
          </cell>
          <cell r="G51">
            <v>2020680010106</v>
          </cell>
          <cell r="H51" t="str">
            <v>FORTALECIMIENTO DE ESPACIOS DE PARTICIPACIÓN Y PREVENCIÓN DE VIOLENCIAS EN MUJERES Y POBLACIÓN CON ORIENTACIONES SEXUALES E IDENTIDADES DE GÉNERO DIVERSAS DEL MUNICIPIO DE BUCARAMANGA</v>
          </cell>
        </row>
        <row r="52">
          <cell r="A52">
            <v>105</v>
          </cell>
          <cell r="B52" t="str">
            <v>BUCARAMANGA EQUITATIVA E INCLUYENTE: UNA CIUDAD DE BIENESTAR</v>
          </cell>
          <cell r="C52" t="str">
            <v>Capacidades Y Oportunidades Para Superar Brechas Sociales</v>
          </cell>
          <cell r="D52" t="str">
            <v>Más Equidad Para Las Mujeres</v>
          </cell>
          <cell r="E52" t="str">
            <v>Mantener el Centro Integral de la Mujer a fin de garantizar el fortalecimiento de los procesos de atención y empoderamiento femenino.</v>
          </cell>
          <cell r="G52">
            <v>2023680010015</v>
          </cell>
          <cell r="H52" t="str">
            <v>FORTALECIMIENTO DE ACCIONES ORIENTADAS AL CIERRE DE BRECHAS DE GÉNERO PARA MUJERES Y POBLACIÓN CON ORIENTACIONES SEXUALES E IDENTIDADES DE GÉNERO DIVERSAS DEL MUNICIPIO DE BUCARAMANGA</v>
          </cell>
        </row>
        <row r="53">
          <cell r="A53">
            <v>106</v>
          </cell>
          <cell r="B53" t="str">
            <v>BUCARAMANGA EQUITATIVA E INCLUYENTE: UNA CIUDAD DE BIENESTAR</v>
          </cell>
          <cell r="C53" t="str">
            <v>Capacidades Y Oportunidades Para Superar Brechas Sociales</v>
          </cell>
          <cell r="D53" t="str">
            <v>Más Equidad Para Las Mujeres</v>
          </cell>
          <cell r="E53" t="str">
            <v>Actualizar e implementar la Política Pública de Mujer.</v>
          </cell>
          <cell r="G53">
            <v>2020680010106</v>
          </cell>
          <cell r="H53" t="str">
            <v>FORTALECIMIENTO DE ESPACIOS DE PARTICIPACIÓN Y PREVENCIÓN DE VIOLENCIAS EN MUJERES Y POBLACIÓN CON ORIENTACIONES SEXUALES E IDENTIDADES DE GÉNERO DIVERSAS DEL MUNICIPIO DE BUCARAMANGA</v>
          </cell>
        </row>
        <row r="54">
          <cell r="A54">
            <v>106</v>
          </cell>
          <cell r="B54" t="str">
            <v>BUCARAMANGA EQUITATIVA E INCLUYENTE: UNA CIUDAD DE BIENESTAR</v>
          </cell>
          <cell r="C54" t="str">
            <v>Capacidades Y Oportunidades Para Superar Brechas Sociales</v>
          </cell>
          <cell r="D54" t="str">
            <v>Más Equidad Para Las Mujeres</v>
          </cell>
          <cell r="E54" t="str">
            <v>Actualizar e implementar la Política Pública de Mujer.</v>
          </cell>
          <cell r="G54">
            <v>2023680010015</v>
          </cell>
          <cell r="H54" t="str">
            <v>FORTALECIMIENTO DE ACCIONES ORIENTADAS AL CIERRE DE BRECHAS DE GÉNERO PARA MUJERES Y POBLACIÓN CON ORIENTACIONES SEXUALES E IDENTIDADES DE GÉNERO DIVERSAS DEL MUNICIPIO DE BUCARAMANGA</v>
          </cell>
        </row>
        <row r="55">
          <cell r="A55">
            <v>107</v>
          </cell>
          <cell r="B55" t="str">
            <v>BUCARAMANGA EQUITATIVA E INCLUYENTE: UNA CIUDAD DE BIENESTAR</v>
          </cell>
          <cell r="C55" t="str">
            <v>Capacidades Y Oportunidades Para Superar Brechas Sociales</v>
          </cell>
          <cell r="D55" t="str">
            <v>Bucaramanga Hábitat Para El Cuidado Y La Corresponsabilidad</v>
          </cell>
          <cell r="E55" t="str">
            <v>Formular e implementar 1 política pública para la población con orientación sexual e identidad de género diversa.</v>
          </cell>
          <cell r="G55">
            <v>2023680010015</v>
          </cell>
          <cell r="H55" t="str">
            <v>FORTALECIMIENTO DE ACCIONES ORIENTADAS AL CIERRE DE BRECHAS DE GÉNERO PARA MUJERES Y POBLACIÓN CON ORIENTACIONES SEXUALES E IDENTIDADES DE GÉNERO DIVERSAS DEL MUNICIPIO DE BUCARAMANGA</v>
          </cell>
        </row>
        <row r="56">
          <cell r="A56">
            <v>107</v>
          </cell>
          <cell r="B56" t="str">
            <v>BUCARAMANGA EQUITATIVA E INCLUYENTE: UNA CIUDAD DE BIENESTAR</v>
          </cell>
          <cell r="C56" t="str">
            <v>Capacidades Y Oportunidades Para Superar Brechas Sociales</v>
          </cell>
          <cell r="D56" t="str">
            <v>Bucaramanga Hábitat Para El Cuidado Y La Corresponsabilidad</v>
          </cell>
          <cell r="E56" t="str">
            <v>Formular e implementar 1 política pública para la población con orientación sexual e identidad de género diversa.</v>
          </cell>
          <cell r="G56">
            <v>2020680010106</v>
          </cell>
          <cell r="H56" t="str">
            <v>FORTALECIMIENTO DE ESPACIOS DE PARTICIPACIÓN Y PREVENCIÓN DE VIOLENCIAS EN MUJERES Y POBLACIÓN CON ORIENTACIONES SEXUALES E IDENTIDADES DE GÉNERO DIVERSAS DEL MUNICIPIO DE BUCARAMANGA</v>
          </cell>
        </row>
        <row r="57">
          <cell r="A57">
            <v>108</v>
          </cell>
          <cell r="B57" t="str">
            <v>BUCARAMANGA EQUITATIVA E INCLUYENTE: UNA CIUDAD DE BIENESTAR</v>
          </cell>
          <cell r="C57" t="str">
            <v>Capacidades Y Oportunidades Para Superar Brechas Sociales</v>
          </cell>
          <cell r="D57" t="str">
            <v>Bucaramanga Hábitat Para El Cuidado Y La Corresponsabilidad</v>
          </cell>
          <cell r="E57" t="str">
            <v>Diseñar y ejecutar 14 campañas comunicativas en espacios públicos y medios masivos de transporte orientadas a la promoción de derechos y a la eliminación de diferentes formas de violencia y discriminación de mujeres y población con orientación sexual e identidad de género diversa.</v>
          </cell>
          <cell r="G57">
            <v>2023680010015</v>
          </cell>
          <cell r="H57" t="str">
            <v>FORTALECIMIENTO DE ESPACIOS DE PARTICIPACIÓN Y PREVENCIÓN DE VIOLENCIAS EN MUJERES Y POBLACIÓN CON ORIENTACIONES SEXUALES E IDENTIDADES DE GÉNERO DIVERSAS DEL MUNICIPIO DE BUCARAMANGA</v>
          </cell>
        </row>
        <row r="58">
          <cell r="A58">
            <v>108</v>
          </cell>
          <cell r="B58" t="str">
            <v>BUCARAMANGA EQUITATIVA E INCLUYENTE: UNA CIUDAD DE BIENESTAR</v>
          </cell>
          <cell r="C58" t="str">
            <v>Capacidades Y Oportunidades Para Superar Brechas Sociales</v>
          </cell>
          <cell r="D58" t="str">
            <v>Bucaramanga Hábitat Para El Cuidado Y La Corresponsabilidad</v>
          </cell>
          <cell r="E58" t="str">
            <v>Diseñar y ejecutar 14 campañas comunicativas en espacios públicos y medios masivos de transporte orientadas a la promoción de derechos y a la eliminación de diferentes formas de violencia y discriminación de mujeres y población con orientación sexual e identidad de género diversa.</v>
          </cell>
          <cell r="G58">
            <v>2020680010106</v>
          </cell>
          <cell r="H58" t="str">
            <v>FORTALECIMIENTO DE ESPACIOS DE PARTICIPACIÓN Y PREVENCIÓN DE VIOLENCIAS EN MUJERES Y POBLACIÓN CON ORIENTACIONES SEXUALES E IDENTIDADES DE GÉNERO DIVERSAS DEL MUNICIPIO DE BUCARAMANGA</v>
          </cell>
        </row>
        <row r="59">
          <cell r="A59">
            <v>109</v>
          </cell>
          <cell r="B59" t="str">
            <v>BUCARAMANGA EQUITATIVA E INCLUYENTE: UNA CIUDAD DE BIENESTAR</v>
          </cell>
          <cell r="C59" t="str">
            <v>Capacidades Y Oportunidades Para Superar Brechas Sociales</v>
          </cell>
          <cell r="D59" t="str">
            <v>Bucaramanga Hábitat Para El Cuidado Y La Corresponsabilidad</v>
          </cell>
          <cell r="E59" t="str">
            <v>Establecer el centro para la atención integral de mujeres y población con orientaciones sexuales e identidades de género diversas a fin de garantizar el fortalecimiento de los procesos de atención, encuentro y empoderamiento.</v>
          </cell>
          <cell r="G59">
            <v>2020680010106</v>
          </cell>
          <cell r="H59" t="str">
            <v>FORTALECIMIENTO DE ESPACIOS DE PARTICIPACIÓN Y PREVENCIÓN DE VIOLENCIAS EN MUJERES Y POBLACIÓN CON ORIENTACIONES SEXUALES E IDENTIDADES DE GÉNERO DIVERSAS DEL MUNICIPIO DE BUCARAMANGA</v>
          </cell>
        </row>
        <row r="60">
          <cell r="A60">
            <v>110</v>
          </cell>
          <cell r="B60" t="str">
            <v>BUCARAMANGA EQUITATIVA E INCLUYENTE: UNA CIUDAD DE BIENESTAR</v>
          </cell>
          <cell r="C60" t="str">
            <v>Capacidades Y Oportunidades Para Superar Brechas Sociales</v>
          </cell>
          <cell r="D60" t="str">
            <v>Bucaramanga Hábitat Para El Cuidado Y La Corresponsabilidad</v>
          </cell>
          <cell r="E60" t="str">
            <v>Atender el 100% de la solicitudes realizadas por éste grupo poblacional y sus familias con orientación psicosocial y jurídica.</v>
          </cell>
          <cell r="G60">
            <v>2020680010106</v>
          </cell>
          <cell r="H60" t="str">
            <v>FORTALECIMIENTO DE ESPACIOS DE PARTICIPACIÓN Y PREVENCIÓN DE VIOLENCIAS EN MUJERES Y POBLACIÓN CON ORIENTACIONES SEXUALES E IDENTIDADES DE GÉNERO DIVERSAS DEL MUNICIPIO DE BUCARAMANGA</v>
          </cell>
        </row>
        <row r="61">
          <cell r="A61">
            <v>110</v>
          </cell>
          <cell r="B61" t="str">
            <v>BUCARAMANGA EQUITATIVA E INCLUYENTE: UNA CIUDAD DE BIENESTAR</v>
          </cell>
          <cell r="C61" t="str">
            <v>Capacidades Y Oportunidades Para Superar Brechas Sociales</v>
          </cell>
          <cell r="D61" t="str">
            <v>Bucaramanga Hábitat Para El Cuidado Y La Corresponsabilidad</v>
          </cell>
          <cell r="E61" t="str">
            <v>Atender el 100% de la solicitudes realizadas por éste grupo poblacional y sus familias con orientación psicosocial y jurídica.</v>
          </cell>
          <cell r="G61">
            <v>2023680010015</v>
          </cell>
          <cell r="H61" t="str">
            <v>FORTALECIMIENTO DE ACCIONES ORIENTADAS AL CIERRE DE BRECHAS DE GÉNERO PARA MUJERES Y POBLACIÓN CON ORIENTACIONES SEXUALES E IDENTIDADES DE GÉNERO DIVERSAS DEL MUNICIPIO DE BUCARAMANGA</v>
          </cell>
        </row>
        <row r="62">
          <cell r="A62">
            <v>111</v>
          </cell>
          <cell r="B62" t="str">
            <v>BUCARAMANGA EQUITATIVA E INCLUYENTE: UNA CIUDAD DE BIENESTAR</v>
          </cell>
          <cell r="C62" t="str">
            <v>Capacidades Y Oportunidades Para Superar Brechas Sociales</v>
          </cell>
          <cell r="D62" t="str">
            <v>Habitantes En Situación De Calle</v>
          </cell>
          <cell r="E62" t="str">
            <v xml:space="preserve">Mantener la identificación, caracterización y seguimiento de la situación de cada habitante de calle atendido por la Secretaría de Desarrollo Social. </v>
          </cell>
          <cell r="G62">
            <v>2020680010050</v>
          </cell>
          <cell r="H62" t="str">
            <v>DESARROLLO DE ACCIONES ENCAMINADAS A GENERAR ATENCIÓN INTEGRAL HACIA LA POBLACIÓN HABITANTES EN SITUACIÓN DE CALLE DEL MUNICIPIO DE BUCARAMANGA</v>
          </cell>
        </row>
        <row r="63">
          <cell r="A63">
            <v>112</v>
          </cell>
          <cell r="B63" t="str">
            <v>BUCARAMANGA EQUITATIVA E INCLUYENTE: UNA CIUDAD DE BIENESTAR</v>
          </cell>
          <cell r="C63" t="str">
            <v>Capacidades Y Oportunidades Para Superar Brechas Sociales</v>
          </cell>
          <cell r="D63" t="str">
            <v>Habitantes En Situación De Calle</v>
          </cell>
          <cell r="E63" t="str">
            <v>Mantener a 284 habitantes de calle con atención integral en la cual se incluya la prestación de servicios básicos.</v>
          </cell>
          <cell r="G63">
            <v>2020680010050</v>
          </cell>
          <cell r="H63" t="str">
            <v>DESARROLLO DE ACCIONES ENCAMINADAS A GENERAR ATENCIÓN INTEGRAL HACIA LA POBLACIÓN HABITANTES EN SITUACIÓN DE CALLE DEL MUNICIPIO DE BUCARAMANGA</v>
          </cell>
        </row>
        <row r="64">
          <cell r="A64">
            <v>113</v>
          </cell>
          <cell r="B64" t="str">
            <v>BUCARAMANGA EQUITATIVA E INCLUYENTE: UNA CIUDAD DE BIENESTAR</v>
          </cell>
          <cell r="C64" t="str">
            <v>Capacidades Y Oportunidades Para Superar Brechas Sociales</v>
          </cell>
          <cell r="D64" t="str">
            <v>Habitantes En Situación De Calle</v>
          </cell>
          <cell r="E64" t="str">
            <v>Formular e implementar 1 política pública para habitante de calle.</v>
          </cell>
          <cell r="G64">
            <v>2020680010050</v>
          </cell>
          <cell r="H64" t="str">
            <v>DESARROLLO DE ACCIONES ENCAMINADAS A GENERAR ATENCIÓN INTEGRAL HACIA LA POBLACIÓN HABITANTES EN SITUACIÓN DE CALLE DEL MUNICIPIO DE BUCARAMANGA</v>
          </cell>
        </row>
        <row r="65">
          <cell r="A65">
            <v>114</v>
          </cell>
          <cell r="B65" t="str">
            <v>BUCARAMANGA EQUITATIVA E INCLUYENTE: UNA CIUDAD DE BIENESTAR</v>
          </cell>
          <cell r="C65" t="str">
            <v>Capacidades Y Oportunidades Para Superar Brechas Sociales</v>
          </cell>
          <cell r="D65" t="str">
            <v>Habitantes En Situación De Calle</v>
          </cell>
          <cell r="E65" t="str">
            <v>Mantener el servicio exequial al 100% de los habitantes de calle fallecidos registrados dentro del censo municipal.</v>
          </cell>
          <cell r="G65">
            <v>2020680010050</v>
          </cell>
          <cell r="H65" t="str">
            <v>DESARROLLO DE ACCIONES ENCAMINADAS A GENERAR ATENCIÓN INTEGRAL HACIA LA POBLACIÓN HABITANTES EN SITUACIÓN DE CALLE DEL MUNICIPIO DE BUCARAMANGA</v>
          </cell>
        </row>
        <row r="66">
          <cell r="A66">
            <v>115</v>
          </cell>
          <cell r="B66" t="str">
            <v>BUCARAMANGA EQUITATIVA E INCLUYENTE: UNA CIUDAD DE BIENESTAR</v>
          </cell>
          <cell r="C66" t="str">
            <v>Capacidades Y Oportunidades Para Superar Brechas Sociales</v>
          </cell>
          <cell r="D66" t="str">
            <v>Población Con Discapacidad</v>
          </cell>
          <cell r="E66" t="str">
            <v>Garantizar y mantener la atención integral en procesos de habilitación y rehabilitación a 250 niñas, niños y adolescentes con discapacidad del sector urbano y rural en extrema vulnerabilidad.</v>
          </cell>
          <cell r="G66">
            <v>2020680010121</v>
          </cell>
          <cell r="H66" t="str">
            <v>APOYO A LA OPERATIVIDAD DE LOS PROGRAMAS DE ATENCIÓN INTEGRAL A LAS PERSONAS CON DISCAPACIDAD. FAMILIARES Y/O CUIDADORES DEL MUNICIPIO DE BUCARAMANGA</v>
          </cell>
        </row>
        <row r="67">
          <cell r="A67">
            <v>116</v>
          </cell>
          <cell r="B67" t="str">
            <v>BUCARAMANGA EQUITATIVA E INCLUYENTE: UNA CIUDAD DE BIENESTAR</v>
          </cell>
          <cell r="C67" t="str">
            <v>Capacidades Y Oportunidades Para Superar Brechas Sociales</v>
          </cell>
          <cell r="D67" t="str">
            <v>Población Con Discapacidad</v>
          </cell>
          <cell r="E67" t="str">
            <v>Mantener el banco de ayudas técnicas, tecnológicas e informáticas para personas con discapacidad que se encuentren en el registro de localización y caracterización.</v>
          </cell>
          <cell r="G67">
            <v>2020680010121</v>
          </cell>
          <cell r="H67" t="str">
            <v>APOYO A LA OPERATIVIDAD DE LOS PROGRAMAS DE ATENCIÓN INTEGRAL A LAS PERSONAS CON DISCAPACIDAD. FAMILIARES Y/O CUIDADORES DEL MUNICIPIO DE BUCARAMANGA</v>
          </cell>
        </row>
        <row r="68">
          <cell r="A68">
            <v>117</v>
          </cell>
          <cell r="B68" t="str">
            <v>BUCARAMANGA EQUITATIVA E INCLUYENTE: UNA CIUDAD DE BIENESTAR</v>
          </cell>
          <cell r="C68" t="str">
            <v>Capacidades Y Oportunidades Para Superar Brechas Sociales</v>
          </cell>
          <cell r="D68" t="str">
            <v>Población Con Discapacidad</v>
          </cell>
          <cell r="E68" t="str">
            <v>Formular e implementar 1 estrategia de orientación ocupacional, aprovechamiento del tiempo libre, formación y esparcimiento cultural y actividades que mejoren la calidad de vida dirigidas a personas con discapacidad.</v>
          </cell>
          <cell r="G68">
            <v>2020680010121</v>
          </cell>
          <cell r="H68" t="str">
            <v>APOYO A LA OPERATIVIDAD DE LOS PROGRAMAS DE ATENCIÓN INTEGRAL A LAS PERSONAS CON DISCAPACIDAD. FAMILIARES Y/O CUIDADORES DEL MUNICIPIO DE BUCARAMANGA</v>
          </cell>
        </row>
        <row r="69">
          <cell r="A69">
            <v>118</v>
          </cell>
          <cell r="B69" t="str">
            <v>BUCARAMANGA EQUITATIVA E INCLUYENTE: UNA CIUDAD DE BIENESTAR</v>
          </cell>
          <cell r="C69" t="str">
            <v>Capacidades Y Oportunidades Para Superar Brechas Sociales</v>
          </cell>
          <cell r="D69" t="str">
            <v>Población Con Discapacidad</v>
          </cell>
          <cell r="E69" t="str">
            <v>Beneficiar anualmente a 200 familias de personas con discapacidad con una canasta básica alimentaria que según su situación socioeconómica se encuentran en extrema vulnerabilidad.</v>
          </cell>
          <cell r="G69">
            <v>2020680010121</v>
          </cell>
          <cell r="H69" t="str">
            <v>APOYO A LA OPERATIVIDAD DE LOS PROGRAMAS DE ATENCIÓN INTEGRAL A LAS PERSONAS CON DISCAPACIDAD. FAMILIARES Y/O CUIDADORES DEL MUNICIPIO DE BUCARAMANGA</v>
          </cell>
        </row>
        <row r="70">
          <cell r="A70">
            <v>119</v>
          </cell>
          <cell r="B70" t="str">
            <v>BUCARAMANGA EQUITATIVA E INCLUYENTE: UNA CIUDAD DE BIENESTAR</v>
          </cell>
          <cell r="C70" t="str">
            <v>Capacidades Y Oportunidades Para Superar Brechas Sociales</v>
          </cell>
          <cell r="D70" t="str">
            <v>Población Con Discapacidad</v>
          </cell>
          <cell r="E70" t="str">
            <v>Implementar 1 estrategia de apoyo técnico y jurídico para las solicitudes de ayudas técnicas requeridas por personas vulnerables en condición de discapacidad.</v>
          </cell>
          <cell r="G70">
            <v>2020680010121</v>
          </cell>
          <cell r="H70" t="str">
            <v>APOYO A LA OPERATIVIDAD DE LOS PROGRAMAS DE ATENCIÓN INTEGRAL A LAS PERSONAS CON DISCAPACIDAD. FAMILIARES Y/O CUIDADORES DEL MUNICIPIO DE BUCARAMANGA</v>
          </cell>
        </row>
        <row r="71">
          <cell r="A71">
            <v>202</v>
          </cell>
          <cell r="B71" t="str">
            <v>BUCARAMANGA PRODUCTIVA Y COMPETITIVA: EMPRESAS INNOVADORAS, RESPONSABLES Y CONSCIENTES</v>
          </cell>
          <cell r="C71" t="str">
            <v>Una Zona Rural Competitiva E Incluyente</v>
          </cell>
          <cell r="D71" t="str">
            <v>Desarrollo Del Campo</v>
          </cell>
          <cell r="E71" t="str">
            <v>Instalar 200 sistemas de riego por goteo en la zona rural.</v>
          </cell>
          <cell r="G71">
            <v>2020680010123</v>
          </cell>
          <cell r="H71" t="str">
            <v>FORTALECIMIENTO DE LA PRODUCTIVIDAD Y COMPETITIVIDAD AGROPECUARIA EN EL SECTOR RURAL DEL MUNICIPIO DE BUCARAMANGA</v>
          </cell>
        </row>
        <row r="72">
          <cell r="A72">
            <v>203</v>
          </cell>
          <cell r="B72" t="str">
            <v>BUCARAMANGA PRODUCTIVA Y COMPETITIVA: EMPRESAS INNOVADORAS, RESPONSABLES Y CONSCIENTES</v>
          </cell>
          <cell r="C72" t="str">
            <v>Una Zona Rural Competitiva E Incluyente</v>
          </cell>
          <cell r="D72" t="str">
            <v>Desarrollo Del Campo</v>
          </cell>
          <cell r="E72" t="str">
            <v>Mantener 2 ciclos de vacunación contra fiebre aftosa y brucelosis en vacunos según normatividad del ICA.</v>
          </cell>
          <cell r="G72">
            <v>2020680010159</v>
          </cell>
          <cell r="H72" t="str">
            <v>PREVENCIÓN DEL CONTAGIO Y PROPAGACIÓN DE LA FIEBRE AFTOSA Y BRUCELOSIS EN LA ESPECIE BOVINA DEL MUNICIPIO DE BUCARAMANGA</v>
          </cell>
        </row>
        <row r="73">
          <cell r="A73">
            <v>204</v>
          </cell>
          <cell r="B73" t="str">
            <v>BUCARAMANGA PRODUCTIVA Y COMPETITIVA: EMPRESAS INNOVADORAS, RESPONSABLES Y CONSCIENTES</v>
          </cell>
          <cell r="C73" t="str">
            <v>Una Zona Rural Competitiva E Incluyente</v>
          </cell>
          <cell r="D73" t="str">
            <v>Desarrollo Del Campo</v>
          </cell>
          <cell r="E73" t="str">
            <v>Realizar 12 proyectos productivos agrícolas o pecuarios.</v>
          </cell>
          <cell r="G73">
            <v>2020680010123</v>
          </cell>
          <cell r="H73" t="str">
            <v>FORTALECIMIENTO DE LA PRODUCTIVIDAD Y COMPETITIVIDAD AGROPECUARIA EN EL SECTOR RURAL DEL MUNICIPIO DE BUCARAMANGA</v>
          </cell>
        </row>
        <row r="74">
          <cell r="A74">
            <v>205</v>
          </cell>
          <cell r="B74" t="str">
            <v>BUCARAMANGA PRODUCTIVA Y COMPETITIVA: EMPRESAS INNOVADORAS, RESPONSABLES Y CONSCIENTES</v>
          </cell>
          <cell r="C74" t="str">
            <v>Una Zona Rural Competitiva E Incluyente</v>
          </cell>
          <cell r="D74" t="str">
            <v>Desarrollo Del Campo</v>
          </cell>
          <cell r="E74" t="str">
            <v>Mantener 4 mercadillos campesinos.</v>
          </cell>
          <cell r="G74">
            <v>2020680010123</v>
          </cell>
          <cell r="H74" t="str">
            <v>FORTALECIMIENTO DE LA PRODUCTIVIDAD Y COMPETITIVIDAD AGROPECUARIA EN EL SECTOR RURAL DEL MUNICIPIO DE BUCARAMANGA</v>
          </cell>
        </row>
        <row r="75">
          <cell r="A75">
            <v>206</v>
          </cell>
          <cell r="B75" t="str">
            <v>BUCARAMANGA PRODUCTIVA Y COMPETITIVA: EMPRESAS INNOVADORAS, RESPONSABLES Y CONSCIENTES</v>
          </cell>
          <cell r="C75" t="str">
            <v>Una Zona Rural Competitiva E Incluyente</v>
          </cell>
          <cell r="D75" t="str">
            <v>Desarrollo Del Campo</v>
          </cell>
          <cell r="E75" t="str">
            <v>Mantener el Plan General de Asistencia Técnica.</v>
          </cell>
          <cell r="G75">
            <v>2020680010123</v>
          </cell>
          <cell r="H75" t="str">
            <v>FORTALECIMIENTO DE LA PRODUCTIVIDAD Y COMPETITIVIDAD AGROPECUARIA EN EL SECTOR RURAL DEL MUNICIPIO DE BUCARAMANGA</v>
          </cell>
        </row>
        <row r="76">
          <cell r="A76">
            <v>207</v>
          </cell>
          <cell r="B76" t="str">
            <v>BUCARAMANGA PRODUCTIVA Y COMPETITIVA: EMPRESAS INNOVADORAS, RESPONSABLES Y CONSCIENTES</v>
          </cell>
          <cell r="C76" t="str">
            <v>Una Zona Rural Competitiva E Incluyente</v>
          </cell>
          <cell r="D76" t="str">
            <v>Desarrollo Del Campo</v>
          </cell>
          <cell r="E76" t="str">
            <v>Desarrollar procesos agroindustriales con 20 unidades productivas del sector rural.</v>
          </cell>
          <cell r="G76">
            <v>2020680010123</v>
          </cell>
          <cell r="H76" t="str">
            <v>FORTALECIMIENTO DE LA PRODUCTIVIDAD Y COMPETITIVIDAD AGROPECUARIA EN EL SECTOR RURAL DEL MUNICIPIO DE BUCARAMANGA</v>
          </cell>
        </row>
        <row r="77">
          <cell r="A77">
            <v>234</v>
          </cell>
          <cell r="B77" t="str">
            <v>BUCARAMANGA CIUDAD VITAL: LA VIDA ES SAGRADA</v>
          </cell>
          <cell r="C77" t="str">
            <v>Bucaramanga Segura</v>
          </cell>
          <cell r="D77" t="str">
            <v>Prevención Del Delito</v>
          </cell>
          <cell r="E77" t="str">
            <v>Mantener la estrategia para la prevención, detección y atención de las violencias en adolescentes.</v>
          </cell>
          <cell r="G77">
            <v>2021680010003</v>
          </cell>
          <cell r="H77" t="str">
            <v>IMPLEMENTACIÓN DE ESTRATEGIAS PSICOPEDAGÓGICAS PARA LA DISMINUCIÓN DE FACTORES DE RIESGO EN NIÑOS, NIÑAS Y ADOLESCENTES EN EL MUNICIPIO DE BUCARAMANGA</v>
          </cell>
        </row>
        <row r="78">
          <cell r="A78">
            <v>283</v>
          </cell>
          <cell r="B78" t="str">
            <v>BUCARAMANGA TERRITORIO LIBRE DE CORRUPCIÓN: INSTITUCIONES SÓLIDAS Y CONFIABLES</v>
          </cell>
          <cell r="C78" t="str">
            <v>Acceso A La Información Y Participación</v>
          </cell>
          <cell r="D78" t="str">
            <v>Fortalecimiento De Las Instituciones Democráticas Y Ciudadanía Participativa</v>
          </cell>
          <cell r="E78" t="str">
            <v>Formular e implementar 1 estrategia que fortalezca la democracia participativa (Ley 1757 de 2015).</v>
          </cell>
          <cell r="G78">
            <v>2022680010029</v>
          </cell>
          <cell r="H78" t="str">
            <v>FORTALECIMIENTO DE LA PARTICIPACIÓN CIUDADANA EN EL MUNICIPIO DE BUCARAMANGA</v>
          </cell>
        </row>
        <row r="79">
          <cell r="A79">
            <v>283</v>
          </cell>
          <cell r="B79" t="str">
            <v>BUCARAMANGA TERRITORIO LIBRE DE CORRUPCIÓN: INSTITUCIONES SÓLIDAS Y CONFIABLES</v>
          </cell>
          <cell r="C79" t="str">
            <v>Acceso A La Información Y Participación</v>
          </cell>
          <cell r="D79" t="str">
            <v>Fortalecimiento De Las Instituciones Democráticas Y Ciudadanía Participativa</v>
          </cell>
          <cell r="E79" t="str">
            <v>Formular e implementar 1 estrategia que fortalezca la democracia participativa (Ley 1757 de 2015).</v>
          </cell>
          <cell r="G79">
            <v>2022680010035</v>
          </cell>
          <cell r="H79" t="str">
            <v>FORTALECIMIENTO DE LA PARTICIPACIÓN E INCIDENCIA DE LAS EXPRESIONES E INSTITUCIONES DEMOCRÁTICAS JUVENILES DE LA CIUDAD DE BUCARAMANGA</v>
          </cell>
        </row>
        <row r="80">
          <cell r="A80">
            <v>284</v>
          </cell>
          <cell r="B80" t="str">
            <v>BUCARAMANGA TERRITORIO LIBRE DE CORRUPCIÓN: INSTITUCIONES SÓLIDAS Y CONFIABLES</v>
          </cell>
          <cell r="C80" t="str">
            <v>Acceso A La Información Y Participación</v>
          </cell>
          <cell r="D80" t="str">
            <v>Fortalecimiento De Las Instituciones Democráticas Y Ciudadanía Participativa</v>
          </cell>
          <cell r="E80" t="str">
            <v>Construir y/o dotar 10 salones comunales con el programa Ágoras.</v>
          </cell>
          <cell r="G80">
            <v>2023680010037</v>
          </cell>
          <cell r="H80" t="str">
            <v>Dotación DE EQUIPOS DE CÓMPUTO, AUDIOVISUAL, MOBILIARIO PARA LOS SALONES COMUNALES-ÁGORAS EN EL MUNICIPIO BUCARAMANGA”,   Bucaramanga</v>
          </cell>
        </row>
        <row r="81">
          <cell r="A81">
            <v>285</v>
          </cell>
          <cell r="B81" t="str">
            <v>BUCARAMANGA TERRITORIO LIBRE DE CORRUPCIÓN: INSTITUCIONES SÓLIDAS Y CONFIABLES</v>
          </cell>
          <cell r="C81" t="str">
            <v>Acceso A La Información Y Participación</v>
          </cell>
          <cell r="D81" t="str">
            <v>Fortalecimiento De Las Instituciones Democráticas Y Ciudadanía Participativa</v>
          </cell>
          <cell r="E81" t="str">
            <v>Mantener en funcionamiento el 100% de los salones comunales que hacen parte del programa Ágoras.</v>
          </cell>
          <cell r="G81">
            <v>2022680010029</v>
          </cell>
          <cell r="H81" t="str">
            <v>FORTALECIMIENTO DE LA PARTICIPACIÓN CIUDADANA EN EL MUNICIPIO DE BUCARAMANGA</v>
          </cell>
        </row>
        <row r="82">
          <cell r="A82">
            <v>286</v>
          </cell>
          <cell r="B82" t="str">
            <v>BUCARAMANGA TERRITORIO LIBRE DE CORRUPCIÓN: INSTITUCIONES SÓLIDAS Y CONFIABLES</v>
          </cell>
          <cell r="C82" t="str">
            <v>Acceso A La Información Y Participación</v>
          </cell>
          <cell r="D82" t="str">
            <v>Fortalecimiento De Las Instituciones Democráticas Y Ciudadanía Participativa</v>
          </cell>
          <cell r="E82" t="str">
            <v>Mantener el beneficio al 100% de los ediles con pago de EPS, ARL, póliza de vida y dotación.</v>
          </cell>
          <cell r="G82">
            <v>2022680010029</v>
          </cell>
          <cell r="H82" t="str">
            <v>FORTALECIMIENTO DE LA PARTICIPACIÓN CIUDADANA EN EL MUNICIPIO DE BUCARAMANGA</v>
          </cell>
        </row>
        <row r="83">
          <cell r="A83">
            <v>300</v>
          </cell>
          <cell r="B83" t="str">
            <v>BUCARAMANGA TERRITORIO LIBRE DE CORRUPCIÓN: INSTITUCIONES SÓLIDAS Y CONFIABLES</v>
          </cell>
          <cell r="C83" t="str">
            <v>Administración Pública Moderna E Innovadora</v>
          </cell>
          <cell r="D83" t="str">
            <v>Gobierno Fortalecido Para Ser Y Hacer</v>
          </cell>
          <cell r="E83" t="str">
            <v>Mantener el 100% de los programas que desarrolla la Administración Central.</v>
          </cell>
          <cell r="G83">
            <v>2020680010025</v>
          </cell>
          <cell r="H83" t="str">
            <v>MEJORAMIENTO DE LOS PROCESOS TRANSVERSALES PARA UNA ADMINISTRACIÓN PUBLICA MODERNA Y EFICIENTE EN LA SECRETARÍA DE DESARROLLO SOCIAL DEL MUNICIPIO BUCARAMANGA</v>
          </cell>
        </row>
        <row r="84">
          <cell r="A84">
            <v>300</v>
          </cell>
          <cell r="B84" t="str">
            <v>BUCARAMANGA TERRITORIO LIBRE DE CORRUPCIÓN: INSTITUCIONES SÓLIDAS Y CONFIABLES</v>
          </cell>
          <cell r="C84" t="str">
            <v>Administración Pública Moderna E Innovadora</v>
          </cell>
          <cell r="D84" t="str">
            <v>Gobierno Fortalecido Para Ser Y Hacer</v>
          </cell>
          <cell r="E84" t="str">
            <v>Mantener el 100% de los programas que desarrolla la Administración Central.</v>
          </cell>
          <cell r="G84">
            <v>2023680010016</v>
          </cell>
          <cell r="H84" t="str">
            <v>APOYO A LA GESTIÓN ADMINISTRATIVA Y PROCESOS TRANSVERSALES DE LA SECRETARIA DE DESARROLLO SOCIAL DEL MUNICIPIO DE BUCARAMANGA</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AE851-6B09-4B4F-9729-7F6AFF9B9E1A}">
  <dimension ref="A1:U1504"/>
  <sheetViews>
    <sheetView tabSelected="1" zoomScale="80" zoomScaleNormal="80" workbookViewId="0">
      <selection activeCell="H7" sqref="H7"/>
    </sheetView>
  </sheetViews>
  <sheetFormatPr baseColWidth="10" defaultRowHeight="13.8" x14ac:dyDescent="0.3"/>
  <cols>
    <col min="1" max="1" width="7.59765625" style="20" customWidth="1"/>
    <col min="2" max="2" width="11.69921875" style="20" customWidth="1"/>
    <col min="3" max="3" width="13.69921875" style="27" bestFit="1" customWidth="1"/>
    <col min="4" max="4" width="13" style="27" customWidth="1"/>
    <col min="5" max="5" width="26.19921875" style="20" customWidth="1"/>
    <col min="6" max="6" width="9.09765625" style="35" customWidth="1"/>
    <col min="7" max="7" width="24" style="35" customWidth="1"/>
    <col min="8" max="8" width="11.3984375" style="35" customWidth="1"/>
    <col min="9" max="9" width="26.59765625" style="20" customWidth="1"/>
    <col min="10" max="10" width="27.09765625" style="20" customWidth="1"/>
    <col min="11" max="11" width="13.09765625" style="20" customWidth="1"/>
    <col min="12" max="12" width="24.09765625" style="43" customWidth="1"/>
    <col min="13" max="13" width="25.09765625" style="20" customWidth="1"/>
    <col min="14" max="14" width="18.3984375" style="42" bestFit="1" customWidth="1"/>
    <col min="15" max="15" width="18.09765625" style="19" customWidth="1"/>
    <col min="16" max="16" width="3.8984375" style="19" customWidth="1"/>
    <col min="17" max="17" width="7.19921875" style="40" bestFit="1" customWidth="1"/>
    <col min="18" max="18" width="18.59765625" style="20" customWidth="1"/>
    <col min="19" max="19" width="16.8984375" style="20" customWidth="1"/>
    <col min="20" max="20" width="7.69921875" style="40" bestFit="1" customWidth="1"/>
    <col min="21" max="21" width="23" style="37" bestFit="1" customWidth="1"/>
    <col min="22" max="254" width="11.19921875" style="20"/>
    <col min="255" max="255" width="9" style="20" customWidth="1"/>
    <col min="256" max="256" width="4.5" style="20" bestFit="1" customWidth="1"/>
    <col min="257" max="257" width="27.3984375" style="20" customWidth="1"/>
    <col min="258" max="258" width="10" style="20" customWidth="1"/>
    <col min="259" max="259" width="21.8984375" style="20" customWidth="1"/>
    <col min="260" max="260" width="9.59765625" style="20" customWidth="1"/>
    <col min="261" max="261" width="33.69921875" style="20" customWidth="1"/>
    <col min="262" max="262" width="10.19921875" style="20" bestFit="1" customWidth="1"/>
    <col min="263" max="263" width="13.5" style="20" bestFit="1" customWidth="1"/>
    <col min="264" max="264" width="3.69921875" style="20" bestFit="1" customWidth="1"/>
    <col min="265" max="265" width="12.8984375" style="20" bestFit="1" customWidth="1"/>
    <col min="266" max="266" width="12.69921875" style="20" customWidth="1"/>
    <col min="267" max="510" width="11.19921875" style="20"/>
    <col min="511" max="511" width="9" style="20" customWidth="1"/>
    <col min="512" max="512" width="4.5" style="20" bestFit="1" customWidth="1"/>
    <col min="513" max="513" width="27.3984375" style="20" customWidth="1"/>
    <col min="514" max="514" width="10" style="20" customWidth="1"/>
    <col min="515" max="515" width="21.8984375" style="20" customWidth="1"/>
    <col min="516" max="516" width="9.59765625" style="20" customWidth="1"/>
    <col min="517" max="517" width="33.69921875" style="20" customWidth="1"/>
    <col min="518" max="518" width="10.19921875" style="20" bestFit="1" customWidth="1"/>
    <col min="519" max="519" width="13.5" style="20" bestFit="1" customWidth="1"/>
    <col min="520" max="520" width="3.69921875" style="20" bestFit="1" customWidth="1"/>
    <col min="521" max="521" width="12.8984375" style="20" bestFit="1" customWidth="1"/>
    <col min="522" max="522" width="12.69921875" style="20" customWidth="1"/>
    <col min="523" max="766" width="11.19921875" style="20"/>
    <col min="767" max="767" width="9" style="20" customWidth="1"/>
    <col min="768" max="768" width="4.5" style="20" bestFit="1" customWidth="1"/>
    <col min="769" max="769" width="27.3984375" style="20" customWidth="1"/>
    <col min="770" max="770" width="10" style="20" customWidth="1"/>
    <col min="771" max="771" width="21.8984375" style="20" customWidth="1"/>
    <col min="772" max="772" width="9.59765625" style="20" customWidth="1"/>
    <col min="773" max="773" width="33.69921875" style="20" customWidth="1"/>
    <col min="774" max="774" width="10.19921875" style="20" bestFit="1" customWidth="1"/>
    <col min="775" max="775" width="13.5" style="20" bestFit="1" customWidth="1"/>
    <col min="776" max="776" width="3.69921875" style="20" bestFit="1" customWidth="1"/>
    <col min="777" max="777" width="12.8984375" style="20" bestFit="1" customWidth="1"/>
    <col min="778" max="778" width="12.69921875" style="20" customWidth="1"/>
    <col min="779" max="1022" width="11.19921875" style="20"/>
    <col min="1023" max="1023" width="9" style="20" customWidth="1"/>
    <col min="1024" max="1024" width="4.5" style="20" bestFit="1" customWidth="1"/>
    <col min="1025" max="1025" width="27.3984375" style="20" customWidth="1"/>
    <col min="1026" max="1026" width="10" style="20" customWidth="1"/>
    <col min="1027" max="1027" width="21.8984375" style="20" customWidth="1"/>
    <col min="1028" max="1028" width="9.59765625" style="20" customWidth="1"/>
    <col min="1029" max="1029" width="33.69921875" style="20" customWidth="1"/>
    <col min="1030" max="1030" width="10.19921875" style="20" bestFit="1" customWidth="1"/>
    <col min="1031" max="1031" width="13.5" style="20" bestFit="1" customWidth="1"/>
    <col min="1032" max="1032" width="3.69921875" style="20" bestFit="1" customWidth="1"/>
    <col min="1033" max="1033" width="12.8984375" style="20" bestFit="1" customWidth="1"/>
    <col min="1034" max="1034" width="12.69921875" style="20" customWidth="1"/>
    <col min="1035" max="1278" width="11.19921875" style="20"/>
    <col min="1279" max="1279" width="9" style="20" customWidth="1"/>
    <col min="1280" max="1280" width="4.5" style="20" bestFit="1" customWidth="1"/>
    <col min="1281" max="1281" width="27.3984375" style="20" customWidth="1"/>
    <col min="1282" max="1282" width="10" style="20" customWidth="1"/>
    <col min="1283" max="1283" width="21.8984375" style="20" customWidth="1"/>
    <col min="1284" max="1284" width="9.59765625" style="20" customWidth="1"/>
    <col min="1285" max="1285" width="33.69921875" style="20" customWidth="1"/>
    <col min="1286" max="1286" width="10.19921875" style="20" bestFit="1" customWidth="1"/>
    <col min="1287" max="1287" width="13.5" style="20" bestFit="1" customWidth="1"/>
    <col min="1288" max="1288" width="3.69921875" style="20" bestFit="1" customWidth="1"/>
    <col min="1289" max="1289" width="12.8984375" style="20" bestFit="1" customWidth="1"/>
    <col min="1290" max="1290" width="12.69921875" style="20" customWidth="1"/>
    <col min="1291" max="1534" width="11.19921875" style="20"/>
    <col min="1535" max="1535" width="9" style="20" customWidth="1"/>
    <col min="1536" max="1536" width="4.5" style="20" bestFit="1" customWidth="1"/>
    <col min="1537" max="1537" width="27.3984375" style="20" customWidth="1"/>
    <col min="1538" max="1538" width="10" style="20" customWidth="1"/>
    <col min="1539" max="1539" width="21.8984375" style="20" customWidth="1"/>
    <col min="1540" max="1540" width="9.59765625" style="20" customWidth="1"/>
    <col min="1541" max="1541" width="33.69921875" style="20" customWidth="1"/>
    <col min="1542" max="1542" width="10.19921875" style="20" bestFit="1" customWidth="1"/>
    <col min="1543" max="1543" width="13.5" style="20" bestFit="1" customWidth="1"/>
    <col min="1544" max="1544" width="3.69921875" style="20" bestFit="1" customWidth="1"/>
    <col min="1545" max="1545" width="12.8984375" style="20" bestFit="1" customWidth="1"/>
    <col min="1546" max="1546" width="12.69921875" style="20" customWidth="1"/>
    <col min="1547" max="1790" width="11.19921875" style="20"/>
    <col min="1791" max="1791" width="9" style="20" customWidth="1"/>
    <col min="1792" max="1792" width="4.5" style="20" bestFit="1" customWidth="1"/>
    <col min="1793" max="1793" width="27.3984375" style="20" customWidth="1"/>
    <col min="1794" max="1794" width="10" style="20" customWidth="1"/>
    <col min="1795" max="1795" width="21.8984375" style="20" customWidth="1"/>
    <col min="1796" max="1796" width="9.59765625" style="20" customWidth="1"/>
    <col min="1797" max="1797" width="33.69921875" style="20" customWidth="1"/>
    <col min="1798" max="1798" width="10.19921875" style="20" bestFit="1" customWidth="1"/>
    <col min="1799" max="1799" width="13.5" style="20" bestFit="1" customWidth="1"/>
    <col min="1800" max="1800" width="3.69921875" style="20" bestFit="1" customWidth="1"/>
    <col min="1801" max="1801" width="12.8984375" style="20" bestFit="1" customWidth="1"/>
    <col min="1802" max="1802" width="12.69921875" style="20" customWidth="1"/>
    <col min="1803" max="2046" width="11.19921875" style="20"/>
    <col min="2047" max="2047" width="9" style="20" customWidth="1"/>
    <col min="2048" max="2048" width="4.5" style="20" bestFit="1" customWidth="1"/>
    <col min="2049" max="2049" width="27.3984375" style="20" customWidth="1"/>
    <col min="2050" max="2050" width="10" style="20" customWidth="1"/>
    <col min="2051" max="2051" width="21.8984375" style="20" customWidth="1"/>
    <col min="2052" max="2052" width="9.59765625" style="20" customWidth="1"/>
    <col min="2053" max="2053" width="33.69921875" style="20" customWidth="1"/>
    <col min="2054" max="2054" width="10.19921875" style="20" bestFit="1" customWidth="1"/>
    <col min="2055" max="2055" width="13.5" style="20" bestFit="1" customWidth="1"/>
    <col min="2056" max="2056" width="3.69921875" style="20" bestFit="1" customWidth="1"/>
    <col min="2057" max="2057" width="12.8984375" style="20" bestFit="1" customWidth="1"/>
    <col min="2058" max="2058" width="12.69921875" style="20" customWidth="1"/>
    <col min="2059" max="2302" width="11.19921875" style="20"/>
    <col min="2303" max="2303" width="9" style="20" customWidth="1"/>
    <col min="2304" max="2304" width="4.5" style="20" bestFit="1" customWidth="1"/>
    <col min="2305" max="2305" width="27.3984375" style="20" customWidth="1"/>
    <col min="2306" max="2306" width="10" style="20" customWidth="1"/>
    <col min="2307" max="2307" width="21.8984375" style="20" customWidth="1"/>
    <col min="2308" max="2308" width="9.59765625" style="20" customWidth="1"/>
    <col min="2309" max="2309" width="33.69921875" style="20" customWidth="1"/>
    <col min="2310" max="2310" width="10.19921875" style="20" bestFit="1" customWidth="1"/>
    <col min="2311" max="2311" width="13.5" style="20" bestFit="1" customWidth="1"/>
    <col min="2312" max="2312" width="3.69921875" style="20" bestFit="1" customWidth="1"/>
    <col min="2313" max="2313" width="12.8984375" style="20" bestFit="1" customWidth="1"/>
    <col min="2314" max="2314" width="12.69921875" style="20" customWidth="1"/>
    <col min="2315" max="2558" width="11.19921875" style="20"/>
    <col min="2559" max="2559" width="9" style="20" customWidth="1"/>
    <col min="2560" max="2560" width="4.5" style="20" bestFit="1" customWidth="1"/>
    <col min="2561" max="2561" width="27.3984375" style="20" customWidth="1"/>
    <col min="2562" max="2562" width="10" style="20" customWidth="1"/>
    <col min="2563" max="2563" width="21.8984375" style="20" customWidth="1"/>
    <col min="2564" max="2564" width="9.59765625" style="20" customWidth="1"/>
    <col min="2565" max="2565" width="33.69921875" style="20" customWidth="1"/>
    <col min="2566" max="2566" width="10.19921875" style="20" bestFit="1" customWidth="1"/>
    <col min="2567" max="2567" width="13.5" style="20" bestFit="1" customWidth="1"/>
    <col min="2568" max="2568" width="3.69921875" style="20" bestFit="1" customWidth="1"/>
    <col min="2569" max="2569" width="12.8984375" style="20" bestFit="1" customWidth="1"/>
    <col min="2570" max="2570" width="12.69921875" style="20" customWidth="1"/>
    <col min="2571" max="2814" width="11.19921875" style="20"/>
    <col min="2815" max="2815" width="9" style="20" customWidth="1"/>
    <col min="2816" max="2816" width="4.5" style="20" bestFit="1" customWidth="1"/>
    <col min="2817" max="2817" width="27.3984375" style="20" customWidth="1"/>
    <col min="2818" max="2818" width="10" style="20" customWidth="1"/>
    <col min="2819" max="2819" width="21.8984375" style="20" customWidth="1"/>
    <col min="2820" max="2820" width="9.59765625" style="20" customWidth="1"/>
    <col min="2821" max="2821" width="33.69921875" style="20" customWidth="1"/>
    <col min="2822" max="2822" width="10.19921875" style="20" bestFit="1" customWidth="1"/>
    <col min="2823" max="2823" width="13.5" style="20" bestFit="1" customWidth="1"/>
    <col min="2824" max="2824" width="3.69921875" style="20" bestFit="1" customWidth="1"/>
    <col min="2825" max="2825" width="12.8984375" style="20" bestFit="1" customWidth="1"/>
    <col min="2826" max="2826" width="12.69921875" style="20" customWidth="1"/>
    <col min="2827" max="3070" width="11.19921875" style="20"/>
    <col min="3071" max="3071" width="9" style="20" customWidth="1"/>
    <col min="3072" max="3072" width="4.5" style="20" bestFit="1" customWidth="1"/>
    <col min="3073" max="3073" width="27.3984375" style="20" customWidth="1"/>
    <col min="3074" max="3074" width="10" style="20" customWidth="1"/>
    <col min="3075" max="3075" width="21.8984375" style="20" customWidth="1"/>
    <col min="3076" max="3076" width="9.59765625" style="20" customWidth="1"/>
    <col min="3077" max="3077" width="33.69921875" style="20" customWidth="1"/>
    <col min="3078" max="3078" width="10.19921875" style="20" bestFit="1" customWidth="1"/>
    <col min="3079" max="3079" width="13.5" style="20" bestFit="1" customWidth="1"/>
    <col min="3080" max="3080" width="3.69921875" style="20" bestFit="1" customWidth="1"/>
    <col min="3081" max="3081" width="12.8984375" style="20" bestFit="1" customWidth="1"/>
    <col min="3082" max="3082" width="12.69921875" style="20" customWidth="1"/>
    <col min="3083" max="3326" width="11.19921875" style="20"/>
    <col min="3327" max="3327" width="9" style="20" customWidth="1"/>
    <col min="3328" max="3328" width="4.5" style="20" bestFit="1" customWidth="1"/>
    <col min="3329" max="3329" width="27.3984375" style="20" customWidth="1"/>
    <col min="3330" max="3330" width="10" style="20" customWidth="1"/>
    <col min="3331" max="3331" width="21.8984375" style="20" customWidth="1"/>
    <col min="3332" max="3332" width="9.59765625" style="20" customWidth="1"/>
    <col min="3333" max="3333" width="33.69921875" style="20" customWidth="1"/>
    <col min="3334" max="3334" width="10.19921875" style="20" bestFit="1" customWidth="1"/>
    <col min="3335" max="3335" width="13.5" style="20" bestFit="1" customWidth="1"/>
    <col min="3336" max="3336" width="3.69921875" style="20" bestFit="1" customWidth="1"/>
    <col min="3337" max="3337" width="12.8984375" style="20" bestFit="1" customWidth="1"/>
    <col min="3338" max="3338" width="12.69921875" style="20" customWidth="1"/>
    <col min="3339" max="3582" width="11.19921875" style="20"/>
    <col min="3583" max="3583" width="9" style="20" customWidth="1"/>
    <col min="3584" max="3584" width="4.5" style="20" bestFit="1" customWidth="1"/>
    <col min="3585" max="3585" width="27.3984375" style="20" customWidth="1"/>
    <col min="3586" max="3586" width="10" style="20" customWidth="1"/>
    <col min="3587" max="3587" width="21.8984375" style="20" customWidth="1"/>
    <col min="3588" max="3588" width="9.59765625" style="20" customWidth="1"/>
    <col min="3589" max="3589" width="33.69921875" style="20" customWidth="1"/>
    <col min="3590" max="3590" width="10.19921875" style="20" bestFit="1" customWidth="1"/>
    <col min="3591" max="3591" width="13.5" style="20" bestFit="1" customWidth="1"/>
    <col min="3592" max="3592" width="3.69921875" style="20" bestFit="1" customWidth="1"/>
    <col min="3593" max="3593" width="12.8984375" style="20" bestFit="1" customWidth="1"/>
    <col min="3594" max="3594" width="12.69921875" style="20" customWidth="1"/>
    <col min="3595" max="3838" width="11.19921875" style="20"/>
    <col min="3839" max="3839" width="9" style="20" customWidth="1"/>
    <col min="3840" max="3840" width="4.5" style="20" bestFit="1" customWidth="1"/>
    <col min="3841" max="3841" width="27.3984375" style="20" customWidth="1"/>
    <col min="3842" max="3842" width="10" style="20" customWidth="1"/>
    <col min="3843" max="3843" width="21.8984375" style="20" customWidth="1"/>
    <col min="3844" max="3844" width="9.59765625" style="20" customWidth="1"/>
    <col min="3845" max="3845" width="33.69921875" style="20" customWidth="1"/>
    <col min="3846" max="3846" width="10.19921875" style="20" bestFit="1" customWidth="1"/>
    <col min="3847" max="3847" width="13.5" style="20" bestFit="1" customWidth="1"/>
    <col min="3848" max="3848" width="3.69921875" style="20" bestFit="1" customWidth="1"/>
    <col min="3849" max="3849" width="12.8984375" style="20" bestFit="1" customWidth="1"/>
    <col min="3850" max="3850" width="12.69921875" style="20" customWidth="1"/>
    <col min="3851" max="4094" width="11.19921875" style="20"/>
    <col min="4095" max="4095" width="9" style="20" customWidth="1"/>
    <col min="4096" max="4096" width="4.5" style="20" bestFit="1" customWidth="1"/>
    <col min="4097" max="4097" width="27.3984375" style="20" customWidth="1"/>
    <col min="4098" max="4098" width="10" style="20" customWidth="1"/>
    <col min="4099" max="4099" width="21.8984375" style="20" customWidth="1"/>
    <col min="4100" max="4100" width="9.59765625" style="20" customWidth="1"/>
    <col min="4101" max="4101" width="33.69921875" style="20" customWidth="1"/>
    <col min="4102" max="4102" width="10.19921875" style="20" bestFit="1" customWidth="1"/>
    <col min="4103" max="4103" width="13.5" style="20" bestFit="1" customWidth="1"/>
    <col min="4104" max="4104" width="3.69921875" style="20" bestFit="1" customWidth="1"/>
    <col min="4105" max="4105" width="12.8984375" style="20" bestFit="1" customWidth="1"/>
    <col min="4106" max="4106" width="12.69921875" style="20" customWidth="1"/>
    <col min="4107" max="4350" width="11.19921875" style="20"/>
    <col min="4351" max="4351" width="9" style="20" customWidth="1"/>
    <col min="4352" max="4352" width="4.5" style="20" bestFit="1" customWidth="1"/>
    <col min="4353" max="4353" width="27.3984375" style="20" customWidth="1"/>
    <col min="4354" max="4354" width="10" style="20" customWidth="1"/>
    <col min="4355" max="4355" width="21.8984375" style="20" customWidth="1"/>
    <col min="4356" max="4356" width="9.59765625" style="20" customWidth="1"/>
    <col min="4357" max="4357" width="33.69921875" style="20" customWidth="1"/>
    <col min="4358" max="4358" width="10.19921875" style="20" bestFit="1" customWidth="1"/>
    <col min="4359" max="4359" width="13.5" style="20" bestFit="1" customWidth="1"/>
    <col min="4360" max="4360" width="3.69921875" style="20" bestFit="1" customWidth="1"/>
    <col min="4361" max="4361" width="12.8984375" style="20" bestFit="1" customWidth="1"/>
    <col min="4362" max="4362" width="12.69921875" style="20" customWidth="1"/>
    <col min="4363" max="4606" width="11.19921875" style="20"/>
    <col min="4607" max="4607" width="9" style="20" customWidth="1"/>
    <col min="4608" max="4608" width="4.5" style="20" bestFit="1" customWidth="1"/>
    <col min="4609" max="4609" width="27.3984375" style="20" customWidth="1"/>
    <col min="4610" max="4610" width="10" style="20" customWidth="1"/>
    <col min="4611" max="4611" width="21.8984375" style="20" customWidth="1"/>
    <col min="4612" max="4612" width="9.59765625" style="20" customWidth="1"/>
    <col min="4613" max="4613" width="33.69921875" style="20" customWidth="1"/>
    <col min="4614" max="4614" width="10.19921875" style="20" bestFit="1" customWidth="1"/>
    <col min="4615" max="4615" width="13.5" style="20" bestFit="1" customWidth="1"/>
    <col min="4616" max="4616" width="3.69921875" style="20" bestFit="1" customWidth="1"/>
    <col min="4617" max="4617" width="12.8984375" style="20" bestFit="1" customWidth="1"/>
    <col min="4618" max="4618" width="12.69921875" style="20" customWidth="1"/>
    <col min="4619" max="4862" width="11.19921875" style="20"/>
    <col min="4863" max="4863" width="9" style="20" customWidth="1"/>
    <col min="4864" max="4864" width="4.5" style="20" bestFit="1" customWidth="1"/>
    <col min="4865" max="4865" width="27.3984375" style="20" customWidth="1"/>
    <col min="4866" max="4866" width="10" style="20" customWidth="1"/>
    <col min="4867" max="4867" width="21.8984375" style="20" customWidth="1"/>
    <col min="4868" max="4868" width="9.59765625" style="20" customWidth="1"/>
    <col min="4869" max="4869" width="33.69921875" style="20" customWidth="1"/>
    <col min="4870" max="4870" width="10.19921875" style="20" bestFit="1" customWidth="1"/>
    <col min="4871" max="4871" width="13.5" style="20" bestFit="1" customWidth="1"/>
    <col min="4872" max="4872" width="3.69921875" style="20" bestFit="1" customWidth="1"/>
    <col min="4873" max="4873" width="12.8984375" style="20" bestFit="1" customWidth="1"/>
    <col min="4874" max="4874" width="12.69921875" style="20" customWidth="1"/>
    <col min="4875" max="5118" width="11.19921875" style="20"/>
    <col min="5119" max="5119" width="9" style="20" customWidth="1"/>
    <col min="5120" max="5120" width="4.5" style="20" bestFit="1" customWidth="1"/>
    <col min="5121" max="5121" width="27.3984375" style="20" customWidth="1"/>
    <col min="5122" max="5122" width="10" style="20" customWidth="1"/>
    <col min="5123" max="5123" width="21.8984375" style="20" customWidth="1"/>
    <col min="5124" max="5124" width="9.59765625" style="20" customWidth="1"/>
    <col min="5125" max="5125" width="33.69921875" style="20" customWidth="1"/>
    <col min="5126" max="5126" width="10.19921875" style="20" bestFit="1" customWidth="1"/>
    <col min="5127" max="5127" width="13.5" style="20" bestFit="1" customWidth="1"/>
    <col min="5128" max="5128" width="3.69921875" style="20" bestFit="1" customWidth="1"/>
    <col min="5129" max="5129" width="12.8984375" style="20" bestFit="1" customWidth="1"/>
    <col min="5130" max="5130" width="12.69921875" style="20" customWidth="1"/>
    <col min="5131" max="5374" width="11.19921875" style="20"/>
    <col min="5375" max="5375" width="9" style="20" customWidth="1"/>
    <col min="5376" max="5376" width="4.5" style="20" bestFit="1" customWidth="1"/>
    <col min="5377" max="5377" width="27.3984375" style="20" customWidth="1"/>
    <col min="5378" max="5378" width="10" style="20" customWidth="1"/>
    <col min="5379" max="5379" width="21.8984375" style="20" customWidth="1"/>
    <col min="5380" max="5380" width="9.59765625" style="20" customWidth="1"/>
    <col min="5381" max="5381" width="33.69921875" style="20" customWidth="1"/>
    <col min="5382" max="5382" width="10.19921875" style="20" bestFit="1" customWidth="1"/>
    <col min="5383" max="5383" width="13.5" style="20" bestFit="1" customWidth="1"/>
    <col min="5384" max="5384" width="3.69921875" style="20" bestFit="1" customWidth="1"/>
    <col min="5385" max="5385" width="12.8984375" style="20" bestFit="1" customWidth="1"/>
    <col min="5386" max="5386" width="12.69921875" style="20" customWidth="1"/>
    <col min="5387" max="5630" width="11.19921875" style="20"/>
    <col min="5631" max="5631" width="9" style="20" customWidth="1"/>
    <col min="5632" max="5632" width="4.5" style="20" bestFit="1" customWidth="1"/>
    <col min="5633" max="5633" width="27.3984375" style="20" customWidth="1"/>
    <col min="5634" max="5634" width="10" style="20" customWidth="1"/>
    <col min="5635" max="5635" width="21.8984375" style="20" customWidth="1"/>
    <col min="5636" max="5636" width="9.59765625" style="20" customWidth="1"/>
    <col min="5637" max="5637" width="33.69921875" style="20" customWidth="1"/>
    <col min="5638" max="5638" width="10.19921875" style="20" bestFit="1" customWidth="1"/>
    <col min="5639" max="5639" width="13.5" style="20" bestFit="1" customWidth="1"/>
    <col min="5640" max="5640" width="3.69921875" style="20" bestFit="1" customWidth="1"/>
    <col min="5641" max="5641" width="12.8984375" style="20" bestFit="1" customWidth="1"/>
    <col min="5642" max="5642" width="12.69921875" style="20" customWidth="1"/>
    <col min="5643" max="5886" width="11.19921875" style="20"/>
    <col min="5887" max="5887" width="9" style="20" customWidth="1"/>
    <col min="5888" max="5888" width="4.5" style="20" bestFit="1" customWidth="1"/>
    <col min="5889" max="5889" width="27.3984375" style="20" customWidth="1"/>
    <col min="5890" max="5890" width="10" style="20" customWidth="1"/>
    <col min="5891" max="5891" width="21.8984375" style="20" customWidth="1"/>
    <col min="5892" max="5892" width="9.59765625" style="20" customWidth="1"/>
    <col min="5893" max="5893" width="33.69921875" style="20" customWidth="1"/>
    <col min="5894" max="5894" width="10.19921875" style="20" bestFit="1" customWidth="1"/>
    <col min="5895" max="5895" width="13.5" style="20" bestFit="1" customWidth="1"/>
    <col min="5896" max="5896" width="3.69921875" style="20" bestFit="1" customWidth="1"/>
    <col min="5897" max="5897" width="12.8984375" style="20" bestFit="1" customWidth="1"/>
    <col min="5898" max="5898" width="12.69921875" style="20" customWidth="1"/>
    <col min="5899" max="6142" width="11.19921875" style="20"/>
    <col min="6143" max="6143" width="9" style="20" customWidth="1"/>
    <col min="6144" max="6144" width="4.5" style="20" bestFit="1" customWidth="1"/>
    <col min="6145" max="6145" width="27.3984375" style="20" customWidth="1"/>
    <col min="6146" max="6146" width="10" style="20" customWidth="1"/>
    <col min="6147" max="6147" width="21.8984375" style="20" customWidth="1"/>
    <col min="6148" max="6148" width="9.59765625" style="20" customWidth="1"/>
    <col min="6149" max="6149" width="33.69921875" style="20" customWidth="1"/>
    <col min="6150" max="6150" width="10.19921875" style="20" bestFit="1" customWidth="1"/>
    <col min="6151" max="6151" width="13.5" style="20" bestFit="1" customWidth="1"/>
    <col min="6152" max="6152" width="3.69921875" style="20" bestFit="1" customWidth="1"/>
    <col min="6153" max="6153" width="12.8984375" style="20" bestFit="1" customWidth="1"/>
    <col min="6154" max="6154" width="12.69921875" style="20" customWidth="1"/>
    <col min="6155" max="6398" width="11.19921875" style="20"/>
    <col min="6399" max="6399" width="9" style="20" customWidth="1"/>
    <col min="6400" max="6400" width="4.5" style="20" bestFit="1" customWidth="1"/>
    <col min="6401" max="6401" width="27.3984375" style="20" customWidth="1"/>
    <col min="6402" max="6402" width="10" style="20" customWidth="1"/>
    <col min="6403" max="6403" width="21.8984375" style="20" customWidth="1"/>
    <col min="6404" max="6404" width="9.59765625" style="20" customWidth="1"/>
    <col min="6405" max="6405" width="33.69921875" style="20" customWidth="1"/>
    <col min="6406" max="6406" width="10.19921875" style="20" bestFit="1" customWidth="1"/>
    <col min="6407" max="6407" width="13.5" style="20" bestFit="1" customWidth="1"/>
    <col min="6408" max="6408" width="3.69921875" style="20" bestFit="1" customWidth="1"/>
    <col min="6409" max="6409" width="12.8984375" style="20" bestFit="1" customWidth="1"/>
    <col min="6410" max="6410" width="12.69921875" style="20" customWidth="1"/>
    <col min="6411" max="6654" width="11.19921875" style="20"/>
    <col min="6655" max="6655" width="9" style="20" customWidth="1"/>
    <col min="6656" max="6656" width="4.5" style="20" bestFit="1" customWidth="1"/>
    <col min="6657" max="6657" width="27.3984375" style="20" customWidth="1"/>
    <col min="6658" max="6658" width="10" style="20" customWidth="1"/>
    <col min="6659" max="6659" width="21.8984375" style="20" customWidth="1"/>
    <col min="6660" max="6660" width="9.59765625" style="20" customWidth="1"/>
    <col min="6661" max="6661" width="33.69921875" style="20" customWidth="1"/>
    <col min="6662" max="6662" width="10.19921875" style="20" bestFit="1" customWidth="1"/>
    <col min="6663" max="6663" width="13.5" style="20" bestFit="1" customWidth="1"/>
    <col min="6664" max="6664" width="3.69921875" style="20" bestFit="1" customWidth="1"/>
    <col min="6665" max="6665" width="12.8984375" style="20" bestFit="1" customWidth="1"/>
    <col min="6666" max="6666" width="12.69921875" style="20" customWidth="1"/>
    <col min="6667" max="6910" width="11.19921875" style="20"/>
    <col min="6911" max="6911" width="9" style="20" customWidth="1"/>
    <col min="6912" max="6912" width="4.5" style="20" bestFit="1" customWidth="1"/>
    <col min="6913" max="6913" width="27.3984375" style="20" customWidth="1"/>
    <col min="6914" max="6914" width="10" style="20" customWidth="1"/>
    <col min="6915" max="6915" width="21.8984375" style="20" customWidth="1"/>
    <col min="6916" max="6916" width="9.59765625" style="20" customWidth="1"/>
    <col min="6917" max="6917" width="33.69921875" style="20" customWidth="1"/>
    <col min="6918" max="6918" width="10.19921875" style="20" bestFit="1" customWidth="1"/>
    <col min="6919" max="6919" width="13.5" style="20" bestFit="1" customWidth="1"/>
    <col min="6920" max="6920" width="3.69921875" style="20" bestFit="1" customWidth="1"/>
    <col min="6921" max="6921" width="12.8984375" style="20" bestFit="1" customWidth="1"/>
    <col min="6922" max="6922" width="12.69921875" style="20" customWidth="1"/>
    <col min="6923" max="7166" width="11.19921875" style="20"/>
    <col min="7167" max="7167" width="9" style="20" customWidth="1"/>
    <col min="7168" max="7168" width="4.5" style="20" bestFit="1" customWidth="1"/>
    <col min="7169" max="7169" width="27.3984375" style="20" customWidth="1"/>
    <col min="7170" max="7170" width="10" style="20" customWidth="1"/>
    <col min="7171" max="7171" width="21.8984375" style="20" customWidth="1"/>
    <col min="7172" max="7172" width="9.59765625" style="20" customWidth="1"/>
    <col min="7173" max="7173" width="33.69921875" style="20" customWidth="1"/>
    <col min="7174" max="7174" width="10.19921875" style="20" bestFit="1" customWidth="1"/>
    <col min="7175" max="7175" width="13.5" style="20" bestFit="1" customWidth="1"/>
    <col min="7176" max="7176" width="3.69921875" style="20" bestFit="1" customWidth="1"/>
    <col min="7177" max="7177" width="12.8984375" style="20" bestFit="1" customWidth="1"/>
    <col min="7178" max="7178" width="12.69921875" style="20" customWidth="1"/>
    <col min="7179" max="7422" width="11.19921875" style="20"/>
    <col min="7423" max="7423" width="9" style="20" customWidth="1"/>
    <col min="7424" max="7424" width="4.5" style="20" bestFit="1" customWidth="1"/>
    <col min="7425" max="7425" width="27.3984375" style="20" customWidth="1"/>
    <col min="7426" max="7426" width="10" style="20" customWidth="1"/>
    <col min="7427" max="7427" width="21.8984375" style="20" customWidth="1"/>
    <col min="7428" max="7428" width="9.59765625" style="20" customWidth="1"/>
    <col min="7429" max="7429" width="33.69921875" style="20" customWidth="1"/>
    <col min="7430" max="7430" width="10.19921875" style="20" bestFit="1" customWidth="1"/>
    <col min="7431" max="7431" width="13.5" style="20" bestFit="1" customWidth="1"/>
    <col min="7432" max="7432" width="3.69921875" style="20" bestFit="1" customWidth="1"/>
    <col min="7433" max="7433" width="12.8984375" style="20" bestFit="1" customWidth="1"/>
    <col min="7434" max="7434" width="12.69921875" style="20" customWidth="1"/>
    <col min="7435" max="7678" width="11.19921875" style="20"/>
    <col min="7679" max="7679" width="9" style="20" customWidth="1"/>
    <col min="7680" max="7680" width="4.5" style="20" bestFit="1" customWidth="1"/>
    <col min="7681" max="7681" width="27.3984375" style="20" customWidth="1"/>
    <col min="7682" max="7682" width="10" style="20" customWidth="1"/>
    <col min="7683" max="7683" width="21.8984375" style="20" customWidth="1"/>
    <col min="7684" max="7684" width="9.59765625" style="20" customWidth="1"/>
    <col min="7685" max="7685" width="33.69921875" style="20" customWidth="1"/>
    <col min="7686" max="7686" width="10.19921875" style="20" bestFit="1" customWidth="1"/>
    <col min="7687" max="7687" width="13.5" style="20" bestFit="1" customWidth="1"/>
    <col min="7688" max="7688" width="3.69921875" style="20" bestFit="1" customWidth="1"/>
    <col min="7689" max="7689" width="12.8984375" style="20" bestFit="1" customWidth="1"/>
    <col min="7690" max="7690" width="12.69921875" style="20" customWidth="1"/>
    <col min="7691" max="7934" width="11.19921875" style="20"/>
    <col min="7935" max="7935" width="9" style="20" customWidth="1"/>
    <col min="7936" max="7936" width="4.5" style="20" bestFit="1" customWidth="1"/>
    <col min="7937" max="7937" width="27.3984375" style="20" customWidth="1"/>
    <col min="7938" max="7938" width="10" style="20" customWidth="1"/>
    <col min="7939" max="7939" width="21.8984375" style="20" customWidth="1"/>
    <col min="7940" max="7940" width="9.59765625" style="20" customWidth="1"/>
    <col min="7941" max="7941" width="33.69921875" style="20" customWidth="1"/>
    <col min="7942" max="7942" width="10.19921875" style="20" bestFit="1" customWidth="1"/>
    <col min="7943" max="7943" width="13.5" style="20" bestFit="1" customWidth="1"/>
    <col min="7944" max="7944" width="3.69921875" style="20" bestFit="1" customWidth="1"/>
    <col min="7945" max="7945" width="12.8984375" style="20" bestFit="1" customWidth="1"/>
    <col min="7946" max="7946" width="12.69921875" style="20" customWidth="1"/>
    <col min="7947" max="8190" width="11.19921875" style="20"/>
    <col min="8191" max="8191" width="9" style="20" customWidth="1"/>
    <col min="8192" max="8192" width="4.5" style="20" bestFit="1" customWidth="1"/>
    <col min="8193" max="8193" width="27.3984375" style="20" customWidth="1"/>
    <col min="8194" max="8194" width="10" style="20" customWidth="1"/>
    <col min="8195" max="8195" width="21.8984375" style="20" customWidth="1"/>
    <col min="8196" max="8196" width="9.59765625" style="20" customWidth="1"/>
    <col min="8197" max="8197" width="33.69921875" style="20" customWidth="1"/>
    <col min="8198" max="8198" width="10.19921875" style="20" bestFit="1" customWidth="1"/>
    <col min="8199" max="8199" width="13.5" style="20" bestFit="1" customWidth="1"/>
    <col min="8200" max="8200" width="3.69921875" style="20" bestFit="1" customWidth="1"/>
    <col min="8201" max="8201" width="12.8984375" style="20" bestFit="1" customWidth="1"/>
    <col min="8202" max="8202" width="12.69921875" style="20" customWidth="1"/>
    <col min="8203" max="8446" width="11.19921875" style="20"/>
    <col min="8447" max="8447" width="9" style="20" customWidth="1"/>
    <col min="8448" max="8448" width="4.5" style="20" bestFit="1" customWidth="1"/>
    <col min="8449" max="8449" width="27.3984375" style="20" customWidth="1"/>
    <col min="8450" max="8450" width="10" style="20" customWidth="1"/>
    <col min="8451" max="8451" width="21.8984375" style="20" customWidth="1"/>
    <col min="8452" max="8452" width="9.59765625" style="20" customWidth="1"/>
    <col min="8453" max="8453" width="33.69921875" style="20" customWidth="1"/>
    <col min="8454" max="8454" width="10.19921875" style="20" bestFit="1" customWidth="1"/>
    <col min="8455" max="8455" width="13.5" style="20" bestFit="1" customWidth="1"/>
    <col min="8456" max="8456" width="3.69921875" style="20" bestFit="1" customWidth="1"/>
    <col min="8457" max="8457" width="12.8984375" style="20" bestFit="1" customWidth="1"/>
    <col min="8458" max="8458" width="12.69921875" style="20" customWidth="1"/>
    <col min="8459" max="8702" width="11.19921875" style="20"/>
    <col min="8703" max="8703" width="9" style="20" customWidth="1"/>
    <col min="8704" max="8704" width="4.5" style="20" bestFit="1" customWidth="1"/>
    <col min="8705" max="8705" width="27.3984375" style="20" customWidth="1"/>
    <col min="8706" max="8706" width="10" style="20" customWidth="1"/>
    <col min="8707" max="8707" width="21.8984375" style="20" customWidth="1"/>
    <col min="8708" max="8708" width="9.59765625" style="20" customWidth="1"/>
    <col min="8709" max="8709" width="33.69921875" style="20" customWidth="1"/>
    <col min="8710" max="8710" width="10.19921875" style="20" bestFit="1" customWidth="1"/>
    <col min="8711" max="8711" width="13.5" style="20" bestFit="1" customWidth="1"/>
    <col min="8712" max="8712" width="3.69921875" style="20" bestFit="1" customWidth="1"/>
    <col min="8713" max="8713" width="12.8984375" style="20" bestFit="1" customWidth="1"/>
    <col min="8714" max="8714" width="12.69921875" style="20" customWidth="1"/>
    <col min="8715" max="8958" width="11.19921875" style="20"/>
    <col min="8959" max="8959" width="9" style="20" customWidth="1"/>
    <col min="8960" max="8960" width="4.5" style="20" bestFit="1" customWidth="1"/>
    <col min="8961" max="8961" width="27.3984375" style="20" customWidth="1"/>
    <col min="8962" max="8962" width="10" style="20" customWidth="1"/>
    <col min="8963" max="8963" width="21.8984375" style="20" customWidth="1"/>
    <col min="8964" max="8964" width="9.59765625" style="20" customWidth="1"/>
    <col min="8965" max="8965" width="33.69921875" style="20" customWidth="1"/>
    <col min="8966" max="8966" width="10.19921875" style="20" bestFit="1" customWidth="1"/>
    <col min="8967" max="8967" width="13.5" style="20" bestFit="1" customWidth="1"/>
    <col min="8968" max="8968" width="3.69921875" style="20" bestFit="1" customWidth="1"/>
    <col min="8969" max="8969" width="12.8984375" style="20" bestFit="1" customWidth="1"/>
    <col min="8970" max="8970" width="12.69921875" style="20" customWidth="1"/>
    <col min="8971" max="9214" width="11.19921875" style="20"/>
    <col min="9215" max="9215" width="9" style="20" customWidth="1"/>
    <col min="9216" max="9216" width="4.5" style="20" bestFit="1" customWidth="1"/>
    <col min="9217" max="9217" width="27.3984375" style="20" customWidth="1"/>
    <col min="9218" max="9218" width="10" style="20" customWidth="1"/>
    <col min="9219" max="9219" width="21.8984375" style="20" customWidth="1"/>
    <col min="9220" max="9220" width="9.59765625" style="20" customWidth="1"/>
    <col min="9221" max="9221" width="33.69921875" style="20" customWidth="1"/>
    <col min="9222" max="9222" width="10.19921875" style="20" bestFit="1" customWidth="1"/>
    <col min="9223" max="9223" width="13.5" style="20" bestFit="1" customWidth="1"/>
    <col min="9224" max="9224" width="3.69921875" style="20" bestFit="1" customWidth="1"/>
    <col min="9225" max="9225" width="12.8984375" style="20" bestFit="1" customWidth="1"/>
    <col min="9226" max="9226" width="12.69921875" style="20" customWidth="1"/>
    <col min="9227" max="9470" width="11.19921875" style="20"/>
    <col min="9471" max="9471" width="9" style="20" customWidth="1"/>
    <col min="9472" max="9472" width="4.5" style="20" bestFit="1" customWidth="1"/>
    <col min="9473" max="9473" width="27.3984375" style="20" customWidth="1"/>
    <col min="9474" max="9474" width="10" style="20" customWidth="1"/>
    <col min="9475" max="9475" width="21.8984375" style="20" customWidth="1"/>
    <col min="9476" max="9476" width="9.59765625" style="20" customWidth="1"/>
    <col min="9477" max="9477" width="33.69921875" style="20" customWidth="1"/>
    <col min="9478" max="9478" width="10.19921875" style="20" bestFit="1" customWidth="1"/>
    <col min="9479" max="9479" width="13.5" style="20" bestFit="1" customWidth="1"/>
    <col min="9480" max="9480" width="3.69921875" style="20" bestFit="1" customWidth="1"/>
    <col min="9481" max="9481" width="12.8984375" style="20" bestFit="1" customWidth="1"/>
    <col min="9482" max="9482" width="12.69921875" style="20" customWidth="1"/>
    <col min="9483" max="9726" width="11.19921875" style="20"/>
    <col min="9727" max="9727" width="9" style="20" customWidth="1"/>
    <col min="9728" max="9728" width="4.5" style="20" bestFit="1" customWidth="1"/>
    <col min="9729" max="9729" width="27.3984375" style="20" customWidth="1"/>
    <col min="9730" max="9730" width="10" style="20" customWidth="1"/>
    <col min="9731" max="9731" width="21.8984375" style="20" customWidth="1"/>
    <col min="9732" max="9732" width="9.59765625" style="20" customWidth="1"/>
    <col min="9733" max="9733" width="33.69921875" style="20" customWidth="1"/>
    <col min="9734" max="9734" width="10.19921875" style="20" bestFit="1" customWidth="1"/>
    <col min="9735" max="9735" width="13.5" style="20" bestFit="1" customWidth="1"/>
    <col min="9736" max="9736" width="3.69921875" style="20" bestFit="1" customWidth="1"/>
    <col min="9737" max="9737" width="12.8984375" style="20" bestFit="1" customWidth="1"/>
    <col min="9738" max="9738" width="12.69921875" style="20" customWidth="1"/>
    <col min="9739" max="9982" width="11.19921875" style="20"/>
    <col min="9983" max="9983" width="9" style="20" customWidth="1"/>
    <col min="9984" max="9984" width="4.5" style="20" bestFit="1" customWidth="1"/>
    <col min="9985" max="9985" width="27.3984375" style="20" customWidth="1"/>
    <col min="9986" max="9986" width="10" style="20" customWidth="1"/>
    <col min="9987" max="9987" width="21.8984375" style="20" customWidth="1"/>
    <col min="9988" max="9988" width="9.59765625" style="20" customWidth="1"/>
    <col min="9989" max="9989" width="33.69921875" style="20" customWidth="1"/>
    <col min="9990" max="9990" width="10.19921875" style="20" bestFit="1" customWidth="1"/>
    <col min="9991" max="9991" width="13.5" style="20" bestFit="1" customWidth="1"/>
    <col min="9992" max="9992" width="3.69921875" style="20" bestFit="1" customWidth="1"/>
    <col min="9993" max="9993" width="12.8984375" style="20" bestFit="1" customWidth="1"/>
    <col min="9994" max="9994" width="12.69921875" style="20" customWidth="1"/>
    <col min="9995" max="10238" width="11.19921875" style="20"/>
    <col min="10239" max="10239" width="9" style="20" customWidth="1"/>
    <col min="10240" max="10240" width="4.5" style="20" bestFit="1" customWidth="1"/>
    <col min="10241" max="10241" width="27.3984375" style="20" customWidth="1"/>
    <col min="10242" max="10242" width="10" style="20" customWidth="1"/>
    <col min="10243" max="10243" width="21.8984375" style="20" customWidth="1"/>
    <col min="10244" max="10244" width="9.59765625" style="20" customWidth="1"/>
    <col min="10245" max="10245" width="33.69921875" style="20" customWidth="1"/>
    <col min="10246" max="10246" width="10.19921875" style="20" bestFit="1" customWidth="1"/>
    <col min="10247" max="10247" width="13.5" style="20" bestFit="1" customWidth="1"/>
    <col min="10248" max="10248" width="3.69921875" style="20" bestFit="1" customWidth="1"/>
    <col min="10249" max="10249" width="12.8984375" style="20" bestFit="1" customWidth="1"/>
    <col min="10250" max="10250" width="12.69921875" style="20" customWidth="1"/>
    <col min="10251" max="10494" width="11.19921875" style="20"/>
    <col min="10495" max="10495" width="9" style="20" customWidth="1"/>
    <col min="10496" max="10496" width="4.5" style="20" bestFit="1" customWidth="1"/>
    <col min="10497" max="10497" width="27.3984375" style="20" customWidth="1"/>
    <col min="10498" max="10498" width="10" style="20" customWidth="1"/>
    <col min="10499" max="10499" width="21.8984375" style="20" customWidth="1"/>
    <col min="10500" max="10500" width="9.59765625" style="20" customWidth="1"/>
    <col min="10501" max="10501" width="33.69921875" style="20" customWidth="1"/>
    <col min="10502" max="10502" width="10.19921875" style="20" bestFit="1" customWidth="1"/>
    <col min="10503" max="10503" width="13.5" style="20" bestFit="1" customWidth="1"/>
    <col min="10504" max="10504" width="3.69921875" style="20" bestFit="1" customWidth="1"/>
    <col min="10505" max="10505" width="12.8984375" style="20" bestFit="1" customWidth="1"/>
    <col min="10506" max="10506" width="12.69921875" style="20" customWidth="1"/>
    <col min="10507" max="10750" width="11.19921875" style="20"/>
    <col min="10751" max="10751" width="9" style="20" customWidth="1"/>
    <col min="10752" max="10752" width="4.5" style="20" bestFit="1" customWidth="1"/>
    <col min="10753" max="10753" width="27.3984375" style="20" customWidth="1"/>
    <col min="10754" max="10754" width="10" style="20" customWidth="1"/>
    <col min="10755" max="10755" width="21.8984375" style="20" customWidth="1"/>
    <col min="10756" max="10756" width="9.59765625" style="20" customWidth="1"/>
    <col min="10757" max="10757" width="33.69921875" style="20" customWidth="1"/>
    <col min="10758" max="10758" width="10.19921875" style="20" bestFit="1" customWidth="1"/>
    <col min="10759" max="10759" width="13.5" style="20" bestFit="1" customWidth="1"/>
    <col min="10760" max="10760" width="3.69921875" style="20" bestFit="1" customWidth="1"/>
    <col min="10761" max="10761" width="12.8984375" style="20" bestFit="1" customWidth="1"/>
    <col min="10762" max="10762" width="12.69921875" style="20" customWidth="1"/>
    <col min="10763" max="11006" width="11.19921875" style="20"/>
    <col min="11007" max="11007" width="9" style="20" customWidth="1"/>
    <col min="11008" max="11008" width="4.5" style="20" bestFit="1" customWidth="1"/>
    <col min="11009" max="11009" width="27.3984375" style="20" customWidth="1"/>
    <col min="11010" max="11010" width="10" style="20" customWidth="1"/>
    <col min="11011" max="11011" width="21.8984375" style="20" customWidth="1"/>
    <col min="11012" max="11012" width="9.59765625" style="20" customWidth="1"/>
    <col min="11013" max="11013" width="33.69921875" style="20" customWidth="1"/>
    <col min="11014" max="11014" width="10.19921875" style="20" bestFit="1" customWidth="1"/>
    <col min="11015" max="11015" width="13.5" style="20" bestFit="1" customWidth="1"/>
    <col min="11016" max="11016" width="3.69921875" style="20" bestFit="1" customWidth="1"/>
    <col min="11017" max="11017" width="12.8984375" style="20" bestFit="1" customWidth="1"/>
    <col min="11018" max="11018" width="12.69921875" style="20" customWidth="1"/>
    <col min="11019" max="11262" width="11.19921875" style="20"/>
    <col min="11263" max="11263" width="9" style="20" customWidth="1"/>
    <col min="11264" max="11264" width="4.5" style="20" bestFit="1" customWidth="1"/>
    <col min="11265" max="11265" width="27.3984375" style="20" customWidth="1"/>
    <col min="11266" max="11266" width="10" style="20" customWidth="1"/>
    <col min="11267" max="11267" width="21.8984375" style="20" customWidth="1"/>
    <col min="11268" max="11268" width="9.59765625" style="20" customWidth="1"/>
    <col min="11269" max="11269" width="33.69921875" style="20" customWidth="1"/>
    <col min="11270" max="11270" width="10.19921875" style="20" bestFit="1" customWidth="1"/>
    <col min="11271" max="11271" width="13.5" style="20" bestFit="1" customWidth="1"/>
    <col min="11272" max="11272" width="3.69921875" style="20" bestFit="1" customWidth="1"/>
    <col min="11273" max="11273" width="12.8984375" style="20" bestFit="1" customWidth="1"/>
    <col min="11274" max="11274" width="12.69921875" style="20" customWidth="1"/>
    <col min="11275" max="11518" width="11.19921875" style="20"/>
    <col min="11519" max="11519" width="9" style="20" customWidth="1"/>
    <col min="11520" max="11520" width="4.5" style="20" bestFit="1" customWidth="1"/>
    <col min="11521" max="11521" width="27.3984375" style="20" customWidth="1"/>
    <col min="11522" max="11522" width="10" style="20" customWidth="1"/>
    <col min="11523" max="11523" width="21.8984375" style="20" customWidth="1"/>
    <col min="11524" max="11524" width="9.59765625" style="20" customWidth="1"/>
    <col min="11525" max="11525" width="33.69921875" style="20" customWidth="1"/>
    <col min="11526" max="11526" width="10.19921875" style="20" bestFit="1" customWidth="1"/>
    <col min="11527" max="11527" width="13.5" style="20" bestFit="1" customWidth="1"/>
    <col min="11528" max="11528" width="3.69921875" style="20" bestFit="1" customWidth="1"/>
    <col min="11529" max="11529" width="12.8984375" style="20" bestFit="1" customWidth="1"/>
    <col min="11530" max="11530" width="12.69921875" style="20" customWidth="1"/>
    <col min="11531" max="11774" width="11.19921875" style="20"/>
    <col min="11775" max="11775" width="9" style="20" customWidth="1"/>
    <col min="11776" max="11776" width="4.5" style="20" bestFit="1" customWidth="1"/>
    <col min="11777" max="11777" width="27.3984375" style="20" customWidth="1"/>
    <col min="11778" max="11778" width="10" style="20" customWidth="1"/>
    <col min="11779" max="11779" width="21.8984375" style="20" customWidth="1"/>
    <col min="11780" max="11780" width="9.59765625" style="20" customWidth="1"/>
    <col min="11781" max="11781" width="33.69921875" style="20" customWidth="1"/>
    <col min="11782" max="11782" width="10.19921875" style="20" bestFit="1" customWidth="1"/>
    <col min="11783" max="11783" width="13.5" style="20" bestFit="1" customWidth="1"/>
    <col min="11784" max="11784" width="3.69921875" style="20" bestFit="1" customWidth="1"/>
    <col min="11785" max="11785" width="12.8984375" style="20" bestFit="1" customWidth="1"/>
    <col min="11786" max="11786" width="12.69921875" style="20" customWidth="1"/>
    <col min="11787" max="12030" width="11.19921875" style="20"/>
    <col min="12031" max="12031" width="9" style="20" customWidth="1"/>
    <col min="12032" max="12032" width="4.5" style="20" bestFit="1" customWidth="1"/>
    <col min="12033" max="12033" width="27.3984375" style="20" customWidth="1"/>
    <col min="12034" max="12034" width="10" style="20" customWidth="1"/>
    <col min="12035" max="12035" width="21.8984375" style="20" customWidth="1"/>
    <col min="12036" max="12036" width="9.59765625" style="20" customWidth="1"/>
    <col min="12037" max="12037" width="33.69921875" style="20" customWidth="1"/>
    <col min="12038" max="12038" width="10.19921875" style="20" bestFit="1" customWidth="1"/>
    <col min="12039" max="12039" width="13.5" style="20" bestFit="1" customWidth="1"/>
    <col min="12040" max="12040" width="3.69921875" style="20" bestFit="1" customWidth="1"/>
    <col min="12041" max="12041" width="12.8984375" style="20" bestFit="1" customWidth="1"/>
    <col min="12042" max="12042" width="12.69921875" style="20" customWidth="1"/>
    <col min="12043" max="12286" width="11.19921875" style="20"/>
    <col min="12287" max="12287" width="9" style="20" customWidth="1"/>
    <col min="12288" max="12288" width="4.5" style="20" bestFit="1" customWidth="1"/>
    <col min="12289" max="12289" width="27.3984375" style="20" customWidth="1"/>
    <col min="12290" max="12290" width="10" style="20" customWidth="1"/>
    <col min="12291" max="12291" width="21.8984375" style="20" customWidth="1"/>
    <col min="12292" max="12292" width="9.59765625" style="20" customWidth="1"/>
    <col min="12293" max="12293" width="33.69921875" style="20" customWidth="1"/>
    <col min="12294" max="12294" width="10.19921875" style="20" bestFit="1" customWidth="1"/>
    <col min="12295" max="12295" width="13.5" style="20" bestFit="1" customWidth="1"/>
    <col min="12296" max="12296" width="3.69921875" style="20" bestFit="1" customWidth="1"/>
    <col min="12297" max="12297" width="12.8984375" style="20" bestFit="1" customWidth="1"/>
    <col min="12298" max="12298" width="12.69921875" style="20" customWidth="1"/>
    <col min="12299" max="12542" width="11.19921875" style="20"/>
    <col min="12543" max="12543" width="9" style="20" customWidth="1"/>
    <col min="12544" max="12544" width="4.5" style="20" bestFit="1" customWidth="1"/>
    <col min="12545" max="12545" width="27.3984375" style="20" customWidth="1"/>
    <col min="12546" max="12546" width="10" style="20" customWidth="1"/>
    <col min="12547" max="12547" width="21.8984375" style="20" customWidth="1"/>
    <col min="12548" max="12548" width="9.59765625" style="20" customWidth="1"/>
    <col min="12549" max="12549" width="33.69921875" style="20" customWidth="1"/>
    <col min="12550" max="12550" width="10.19921875" style="20" bestFit="1" customWidth="1"/>
    <col min="12551" max="12551" width="13.5" style="20" bestFit="1" customWidth="1"/>
    <col min="12552" max="12552" width="3.69921875" style="20" bestFit="1" customWidth="1"/>
    <col min="12553" max="12553" width="12.8984375" style="20" bestFit="1" customWidth="1"/>
    <col min="12554" max="12554" width="12.69921875" style="20" customWidth="1"/>
    <col min="12555" max="12798" width="11.19921875" style="20"/>
    <col min="12799" max="12799" width="9" style="20" customWidth="1"/>
    <col min="12800" max="12800" width="4.5" style="20" bestFit="1" customWidth="1"/>
    <col min="12801" max="12801" width="27.3984375" style="20" customWidth="1"/>
    <col min="12802" max="12802" width="10" style="20" customWidth="1"/>
    <col min="12803" max="12803" width="21.8984375" style="20" customWidth="1"/>
    <col min="12804" max="12804" width="9.59765625" style="20" customWidth="1"/>
    <col min="12805" max="12805" width="33.69921875" style="20" customWidth="1"/>
    <col min="12806" max="12806" width="10.19921875" style="20" bestFit="1" customWidth="1"/>
    <col min="12807" max="12807" width="13.5" style="20" bestFit="1" customWidth="1"/>
    <col min="12808" max="12808" width="3.69921875" style="20" bestFit="1" customWidth="1"/>
    <col min="12809" max="12809" width="12.8984375" style="20" bestFit="1" customWidth="1"/>
    <col min="12810" max="12810" width="12.69921875" style="20" customWidth="1"/>
    <col min="12811" max="13054" width="11.19921875" style="20"/>
    <col min="13055" max="13055" width="9" style="20" customWidth="1"/>
    <col min="13056" max="13056" width="4.5" style="20" bestFit="1" customWidth="1"/>
    <col min="13057" max="13057" width="27.3984375" style="20" customWidth="1"/>
    <col min="13058" max="13058" width="10" style="20" customWidth="1"/>
    <col min="13059" max="13059" width="21.8984375" style="20" customWidth="1"/>
    <col min="13060" max="13060" width="9.59765625" style="20" customWidth="1"/>
    <col min="13061" max="13061" width="33.69921875" style="20" customWidth="1"/>
    <col min="13062" max="13062" width="10.19921875" style="20" bestFit="1" customWidth="1"/>
    <col min="13063" max="13063" width="13.5" style="20" bestFit="1" customWidth="1"/>
    <col min="13064" max="13064" width="3.69921875" style="20" bestFit="1" customWidth="1"/>
    <col min="13065" max="13065" width="12.8984375" style="20" bestFit="1" customWidth="1"/>
    <col min="13066" max="13066" width="12.69921875" style="20" customWidth="1"/>
    <col min="13067" max="13310" width="11.19921875" style="20"/>
    <col min="13311" max="13311" width="9" style="20" customWidth="1"/>
    <col min="13312" max="13312" width="4.5" style="20" bestFit="1" customWidth="1"/>
    <col min="13313" max="13313" width="27.3984375" style="20" customWidth="1"/>
    <col min="13314" max="13314" width="10" style="20" customWidth="1"/>
    <col min="13315" max="13315" width="21.8984375" style="20" customWidth="1"/>
    <col min="13316" max="13316" width="9.59765625" style="20" customWidth="1"/>
    <col min="13317" max="13317" width="33.69921875" style="20" customWidth="1"/>
    <col min="13318" max="13318" width="10.19921875" style="20" bestFit="1" customWidth="1"/>
    <col min="13319" max="13319" width="13.5" style="20" bestFit="1" customWidth="1"/>
    <col min="13320" max="13320" width="3.69921875" style="20" bestFit="1" customWidth="1"/>
    <col min="13321" max="13321" width="12.8984375" style="20" bestFit="1" customWidth="1"/>
    <col min="13322" max="13322" width="12.69921875" style="20" customWidth="1"/>
    <col min="13323" max="13566" width="11.19921875" style="20"/>
    <col min="13567" max="13567" width="9" style="20" customWidth="1"/>
    <col min="13568" max="13568" width="4.5" style="20" bestFit="1" customWidth="1"/>
    <col min="13569" max="13569" width="27.3984375" style="20" customWidth="1"/>
    <col min="13570" max="13570" width="10" style="20" customWidth="1"/>
    <col min="13571" max="13571" width="21.8984375" style="20" customWidth="1"/>
    <col min="13572" max="13572" width="9.59765625" style="20" customWidth="1"/>
    <col min="13573" max="13573" width="33.69921875" style="20" customWidth="1"/>
    <col min="13574" max="13574" width="10.19921875" style="20" bestFit="1" customWidth="1"/>
    <col min="13575" max="13575" width="13.5" style="20" bestFit="1" customWidth="1"/>
    <col min="13576" max="13576" width="3.69921875" style="20" bestFit="1" customWidth="1"/>
    <col min="13577" max="13577" width="12.8984375" style="20" bestFit="1" customWidth="1"/>
    <col min="13578" max="13578" width="12.69921875" style="20" customWidth="1"/>
    <col min="13579" max="13822" width="11.19921875" style="20"/>
    <col min="13823" max="13823" width="9" style="20" customWidth="1"/>
    <col min="13824" max="13824" width="4.5" style="20" bestFit="1" customWidth="1"/>
    <col min="13825" max="13825" width="27.3984375" style="20" customWidth="1"/>
    <col min="13826" max="13826" width="10" style="20" customWidth="1"/>
    <col min="13827" max="13827" width="21.8984375" style="20" customWidth="1"/>
    <col min="13828" max="13828" width="9.59765625" style="20" customWidth="1"/>
    <col min="13829" max="13829" width="33.69921875" style="20" customWidth="1"/>
    <col min="13830" max="13830" width="10.19921875" style="20" bestFit="1" customWidth="1"/>
    <col min="13831" max="13831" width="13.5" style="20" bestFit="1" customWidth="1"/>
    <col min="13832" max="13832" width="3.69921875" style="20" bestFit="1" customWidth="1"/>
    <col min="13833" max="13833" width="12.8984375" style="20" bestFit="1" customWidth="1"/>
    <col min="13834" max="13834" width="12.69921875" style="20" customWidth="1"/>
    <col min="13835" max="14078" width="11.19921875" style="20"/>
    <col min="14079" max="14079" width="9" style="20" customWidth="1"/>
    <col min="14080" max="14080" width="4.5" style="20" bestFit="1" customWidth="1"/>
    <col min="14081" max="14081" width="27.3984375" style="20" customWidth="1"/>
    <col min="14082" max="14082" width="10" style="20" customWidth="1"/>
    <col min="14083" max="14083" width="21.8984375" style="20" customWidth="1"/>
    <col min="14084" max="14084" width="9.59765625" style="20" customWidth="1"/>
    <col min="14085" max="14085" width="33.69921875" style="20" customWidth="1"/>
    <col min="14086" max="14086" width="10.19921875" style="20" bestFit="1" customWidth="1"/>
    <col min="14087" max="14087" width="13.5" style="20" bestFit="1" customWidth="1"/>
    <col min="14088" max="14088" width="3.69921875" style="20" bestFit="1" customWidth="1"/>
    <col min="14089" max="14089" width="12.8984375" style="20" bestFit="1" customWidth="1"/>
    <col min="14090" max="14090" width="12.69921875" style="20" customWidth="1"/>
    <col min="14091" max="14334" width="11.19921875" style="20"/>
    <col min="14335" max="14335" width="9" style="20" customWidth="1"/>
    <col min="14336" max="14336" width="4.5" style="20" bestFit="1" customWidth="1"/>
    <col min="14337" max="14337" width="27.3984375" style="20" customWidth="1"/>
    <col min="14338" max="14338" width="10" style="20" customWidth="1"/>
    <col min="14339" max="14339" width="21.8984375" style="20" customWidth="1"/>
    <col min="14340" max="14340" width="9.59765625" style="20" customWidth="1"/>
    <col min="14341" max="14341" width="33.69921875" style="20" customWidth="1"/>
    <col min="14342" max="14342" width="10.19921875" style="20" bestFit="1" customWidth="1"/>
    <col min="14343" max="14343" width="13.5" style="20" bestFit="1" customWidth="1"/>
    <col min="14344" max="14344" width="3.69921875" style="20" bestFit="1" customWidth="1"/>
    <col min="14345" max="14345" width="12.8984375" style="20" bestFit="1" customWidth="1"/>
    <col min="14346" max="14346" width="12.69921875" style="20" customWidth="1"/>
    <col min="14347" max="14590" width="11.19921875" style="20"/>
    <col min="14591" max="14591" width="9" style="20" customWidth="1"/>
    <col min="14592" max="14592" width="4.5" style="20" bestFit="1" customWidth="1"/>
    <col min="14593" max="14593" width="27.3984375" style="20" customWidth="1"/>
    <col min="14594" max="14594" width="10" style="20" customWidth="1"/>
    <col min="14595" max="14595" width="21.8984375" style="20" customWidth="1"/>
    <col min="14596" max="14596" width="9.59765625" style="20" customWidth="1"/>
    <col min="14597" max="14597" width="33.69921875" style="20" customWidth="1"/>
    <col min="14598" max="14598" width="10.19921875" style="20" bestFit="1" customWidth="1"/>
    <col min="14599" max="14599" width="13.5" style="20" bestFit="1" customWidth="1"/>
    <col min="14600" max="14600" width="3.69921875" style="20" bestFit="1" customWidth="1"/>
    <col min="14601" max="14601" width="12.8984375" style="20" bestFit="1" customWidth="1"/>
    <col min="14602" max="14602" width="12.69921875" style="20" customWidth="1"/>
    <col min="14603" max="14846" width="11.19921875" style="20"/>
    <col min="14847" max="14847" width="9" style="20" customWidth="1"/>
    <col min="14848" max="14848" width="4.5" style="20" bestFit="1" customWidth="1"/>
    <col min="14849" max="14849" width="27.3984375" style="20" customWidth="1"/>
    <col min="14850" max="14850" width="10" style="20" customWidth="1"/>
    <col min="14851" max="14851" width="21.8984375" style="20" customWidth="1"/>
    <col min="14852" max="14852" width="9.59765625" style="20" customWidth="1"/>
    <col min="14853" max="14853" width="33.69921875" style="20" customWidth="1"/>
    <col min="14854" max="14854" width="10.19921875" style="20" bestFit="1" customWidth="1"/>
    <col min="14855" max="14855" width="13.5" style="20" bestFit="1" customWidth="1"/>
    <col min="14856" max="14856" width="3.69921875" style="20" bestFit="1" customWidth="1"/>
    <col min="14857" max="14857" width="12.8984375" style="20" bestFit="1" customWidth="1"/>
    <col min="14858" max="14858" width="12.69921875" style="20" customWidth="1"/>
    <col min="14859" max="15102" width="11.19921875" style="20"/>
    <col min="15103" max="15103" width="9" style="20" customWidth="1"/>
    <col min="15104" max="15104" width="4.5" style="20" bestFit="1" customWidth="1"/>
    <col min="15105" max="15105" width="27.3984375" style="20" customWidth="1"/>
    <col min="15106" max="15106" width="10" style="20" customWidth="1"/>
    <col min="15107" max="15107" width="21.8984375" style="20" customWidth="1"/>
    <col min="15108" max="15108" width="9.59765625" style="20" customWidth="1"/>
    <col min="15109" max="15109" width="33.69921875" style="20" customWidth="1"/>
    <col min="15110" max="15110" width="10.19921875" style="20" bestFit="1" customWidth="1"/>
    <col min="15111" max="15111" width="13.5" style="20" bestFit="1" customWidth="1"/>
    <col min="15112" max="15112" width="3.69921875" style="20" bestFit="1" customWidth="1"/>
    <col min="15113" max="15113" width="12.8984375" style="20" bestFit="1" customWidth="1"/>
    <col min="15114" max="15114" width="12.69921875" style="20" customWidth="1"/>
    <col min="15115" max="15358" width="11.19921875" style="20"/>
    <col min="15359" max="15359" width="9" style="20" customWidth="1"/>
    <col min="15360" max="15360" width="4.5" style="20" bestFit="1" customWidth="1"/>
    <col min="15361" max="15361" width="27.3984375" style="20" customWidth="1"/>
    <col min="15362" max="15362" width="10" style="20" customWidth="1"/>
    <col min="15363" max="15363" width="21.8984375" style="20" customWidth="1"/>
    <col min="15364" max="15364" width="9.59765625" style="20" customWidth="1"/>
    <col min="15365" max="15365" width="33.69921875" style="20" customWidth="1"/>
    <col min="15366" max="15366" width="10.19921875" style="20" bestFit="1" customWidth="1"/>
    <col min="15367" max="15367" width="13.5" style="20" bestFit="1" customWidth="1"/>
    <col min="15368" max="15368" width="3.69921875" style="20" bestFit="1" customWidth="1"/>
    <col min="15369" max="15369" width="12.8984375" style="20" bestFit="1" customWidth="1"/>
    <col min="15370" max="15370" width="12.69921875" style="20" customWidth="1"/>
    <col min="15371" max="15614" width="11.19921875" style="20"/>
    <col min="15615" max="15615" width="9" style="20" customWidth="1"/>
    <col min="15616" max="15616" width="4.5" style="20" bestFit="1" customWidth="1"/>
    <col min="15617" max="15617" width="27.3984375" style="20" customWidth="1"/>
    <col min="15618" max="15618" width="10" style="20" customWidth="1"/>
    <col min="15619" max="15619" width="21.8984375" style="20" customWidth="1"/>
    <col min="15620" max="15620" width="9.59765625" style="20" customWidth="1"/>
    <col min="15621" max="15621" width="33.69921875" style="20" customWidth="1"/>
    <col min="15622" max="15622" width="10.19921875" style="20" bestFit="1" customWidth="1"/>
    <col min="15623" max="15623" width="13.5" style="20" bestFit="1" customWidth="1"/>
    <col min="15624" max="15624" width="3.69921875" style="20" bestFit="1" customWidth="1"/>
    <col min="15625" max="15625" width="12.8984375" style="20" bestFit="1" customWidth="1"/>
    <col min="15626" max="15626" width="12.69921875" style="20" customWidth="1"/>
    <col min="15627" max="15870" width="11.19921875" style="20"/>
    <col min="15871" max="15871" width="9" style="20" customWidth="1"/>
    <col min="15872" max="15872" width="4.5" style="20" bestFit="1" customWidth="1"/>
    <col min="15873" max="15873" width="27.3984375" style="20" customWidth="1"/>
    <col min="15874" max="15874" width="10" style="20" customWidth="1"/>
    <col min="15875" max="15875" width="21.8984375" style="20" customWidth="1"/>
    <col min="15876" max="15876" width="9.59765625" style="20" customWidth="1"/>
    <col min="15877" max="15877" width="33.69921875" style="20" customWidth="1"/>
    <col min="15878" max="15878" width="10.19921875" style="20" bestFit="1" customWidth="1"/>
    <col min="15879" max="15879" width="13.5" style="20" bestFit="1" customWidth="1"/>
    <col min="15880" max="15880" width="3.69921875" style="20" bestFit="1" customWidth="1"/>
    <col min="15881" max="15881" width="12.8984375" style="20" bestFit="1" customWidth="1"/>
    <col min="15882" max="15882" width="12.69921875" style="20" customWidth="1"/>
    <col min="15883" max="16126" width="11.19921875" style="20"/>
    <col min="16127" max="16127" width="9" style="20" customWidth="1"/>
    <col min="16128" max="16128" width="4.5" style="20" bestFit="1" customWidth="1"/>
    <col min="16129" max="16129" width="27.3984375" style="20" customWidth="1"/>
    <col min="16130" max="16130" width="10" style="20" customWidth="1"/>
    <col min="16131" max="16131" width="21.8984375" style="20" customWidth="1"/>
    <col min="16132" max="16132" width="9.59765625" style="20" customWidth="1"/>
    <col min="16133" max="16133" width="33.69921875" style="20" customWidth="1"/>
    <col min="16134" max="16134" width="10.19921875" style="20" bestFit="1" customWidth="1"/>
    <col min="16135" max="16135" width="13.5" style="20" bestFit="1" customWidth="1"/>
    <col min="16136" max="16136" width="3.69921875" style="20" bestFit="1" customWidth="1"/>
    <col min="16137" max="16137" width="12.8984375" style="20" bestFit="1" customWidth="1"/>
    <col min="16138" max="16138" width="12.69921875" style="20" customWidth="1"/>
    <col min="16139" max="16384" width="11.19921875" style="20"/>
  </cols>
  <sheetData>
    <row r="1" spans="1:21" s="2" customFormat="1" x14ac:dyDescent="0.3">
      <c r="A1" s="1" t="s">
        <v>2177</v>
      </c>
      <c r="B1" s="1"/>
      <c r="C1" s="1"/>
      <c r="D1" s="1"/>
      <c r="E1" s="1"/>
      <c r="F1" s="1"/>
      <c r="G1" s="1"/>
      <c r="H1" s="1"/>
      <c r="I1" s="1"/>
      <c r="J1" s="1"/>
      <c r="K1" s="1"/>
      <c r="L1" s="1"/>
      <c r="M1" s="1"/>
      <c r="N1" s="1"/>
      <c r="O1" s="1"/>
      <c r="P1" s="1"/>
      <c r="Q1" s="1"/>
      <c r="R1" s="1"/>
      <c r="S1" s="1"/>
      <c r="T1" s="1"/>
      <c r="U1" s="1"/>
    </row>
    <row r="2" spans="1:21" s="2" customFormat="1" x14ac:dyDescent="0.3">
      <c r="A2" s="1" t="s">
        <v>2178</v>
      </c>
      <c r="B2" s="1"/>
      <c r="C2" s="1"/>
      <c r="D2" s="1"/>
      <c r="E2" s="1"/>
      <c r="F2" s="1"/>
      <c r="G2" s="1"/>
      <c r="H2" s="1"/>
      <c r="I2" s="1"/>
      <c r="J2" s="1"/>
      <c r="K2" s="1"/>
      <c r="L2" s="1"/>
      <c r="M2" s="1"/>
      <c r="N2" s="1"/>
      <c r="O2" s="1"/>
      <c r="P2" s="1"/>
      <c r="Q2" s="1"/>
      <c r="R2" s="1"/>
      <c r="S2" s="1"/>
      <c r="T2" s="1"/>
      <c r="U2" s="1"/>
    </row>
    <row r="3" spans="1:21" s="3" customFormat="1" x14ac:dyDescent="0.3">
      <c r="E3" s="4">
        <v>5</v>
      </c>
      <c r="F3" s="4">
        <v>8</v>
      </c>
      <c r="G3" s="4"/>
      <c r="H3" s="4"/>
      <c r="I3" s="4">
        <v>7</v>
      </c>
      <c r="J3" s="4">
        <v>3</v>
      </c>
      <c r="K3" s="4">
        <v>1</v>
      </c>
      <c r="L3" s="4"/>
      <c r="M3" s="4">
        <v>9</v>
      </c>
      <c r="N3" s="4"/>
      <c r="O3" s="4"/>
      <c r="P3" s="5"/>
      <c r="Q3" s="3">
        <v>2</v>
      </c>
      <c r="R3" s="3">
        <v>4</v>
      </c>
      <c r="S3" s="3">
        <v>6</v>
      </c>
      <c r="T3" s="3">
        <v>10</v>
      </c>
      <c r="U3" s="6"/>
    </row>
    <row r="4" spans="1:21" s="12" customFormat="1" ht="30.75" customHeight="1" x14ac:dyDescent="0.3">
      <c r="A4" s="7" t="s">
        <v>0</v>
      </c>
      <c r="B4" s="7" t="s">
        <v>1</v>
      </c>
      <c r="C4" s="7" t="s">
        <v>2</v>
      </c>
      <c r="D4" s="7" t="s">
        <v>3</v>
      </c>
      <c r="E4" s="8" t="s">
        <v>4</v>
      </c>
      <c r="F4" s="8" t="s">
        <v>5</v>
      </c>
      <c r="G4" s="8" t="s">
        <v>6</v>
      </c>
      <c r="H4" s="8" t="s">
        <v>7</v>
      </c>
      <c r="I4" s="8" t="s">
        <v>8</v>
      </c>
      <c r="J4" s="8" t="s">
        <v>9</v>
      </c>
      <c r="K4" s="8" t="s">
        <v>10</v>
      </c>
      <c r="L4" s="7" t="s">
        <v>11</v>
      </c>
      <c r="M4" s="7" t="s">
        <v>12</v>
      </c>
      <c r="N4" s="9" t="s">
        <v>13</v>
      </c>
      <c r="O4" s="10" t="s">
        <v>14</v>
      </c>
      <c r="P4" s="11" t="s">
        <v>15</v>
      </c>
      <c r="Q4" s="8" t="s">
        <v>16</v>
      </c>
      <c r="R4" s="8" t="s">
        <v>17</v>
      </c>
      <c r="S4" s="8" t="s">
        <v>18</v>
      </c>
      <c r="T4" s="7" t="s">
        <v>19</v>
      </c>
      <c r="U4" s="9" t="s">
        <v>20</v>
      </c>
    </row>
    <row r="5" spans="1:21" x14ac:dyDescent="0.3">
      <c r="A5" s="13">
        <v>93</v>
      </c>
      <c r="B5" s="13" t="str">
        <f>+VLOOKUP(A5,'[1]PA 2023'!$A$8:$E$84,5)</f>
        <v>Mantener en funcionamiento los 3 Centros Vida con la prestacion de servicios integrales y/o dotacion de los mismos cumpliendo con la oferta institucional.</v>
      </c>
      <c r="C5" s="14">
        <v>2020680010040</v>
      </c>
      <c r="D5" s="14" t="str">
        <f>+VLOOKUP(C5,'[1]PA 2023'!$G$8:$H$84,2,FALSE)</f>
        <v>IMPLEMENTACIÓN DE ACCIONES TENDIENTES A MEJORAR LAS CONDICIONES DE LOS ADULTOS MAYORES DEL MUNICIPIO DE BUCARAMANGA</v>
      </c>
      <c r="E5" s="13" t="s">
        <v>21</v>
      </c>
      <c r="F5" s="15" t="s">
        <v>22</v>
      </c>
      <c r="G5" s="15" t="s">
        <v>23</v>
      </c>
      <c r="H5" s="15" t="s">
        <v>23</v>
      </c>
      <c r="I5" s="13" t="s">
        <v>24</v>
      </c>
      <c r="J5" s="13" t="s">
        <v>25</v>
      </c>
      <c r="K5" s="16">
        <v>44944</v>
      </c>
      <c r="L5" s="17">
        <v>887900</v>
      </c>
      <c r="M5" s="17">
        <v>887900</v>
      </c>
      <c r="N5" s="18">
        <v>887900</v>
      </c>
      <c r="O5" s="15" t="s">
        <v>23</v>
      </c>
      <c r="Q5" s="13">
        <v>440</v>
      </c>
      <c r="R5" s="13" t="s">
        <v>26</v>
      </c>
      <c r="S5" s="13" t="s">
        <v>27</v>
      </c>
      <c r="T5" s="13" t="s">
        <v>16</v>
      </c>
      <c r="U5" s="17">
        <f t="shared" ref="U5:U23" si="0">+M5-N5</f>
        <v>0</v>
      </c>
    </row>
    <row r="6" spans="1:21" x14ac:dyDescent="0.3">
      <c r="A6" s="13">
        <v>93</v>
      </c>
      <c r="B6" s="13" t="str">
        <f>+VLOOKUP(A6,'[1]PA 2023'!$A$8:$E$84,5)</f>
        <v>Mantener en funcionamiento los 3 Centros Vida con la prestacion de servicios integrales y/o dotacion de los mismos cumpliendo con la oferta institucional.</v>
      </c>
      <c r="C6" s="14">
        <v>2020680010040</v>
      </c>
      <c r="D6" s="14" t="str">
        <f>+VLOOKUP(C6,'[1]PA 2023'!$G$8:$H$84,2,FALSE)</f>
        <v>IMPLEMENTACIÓN DE ACCIONES TENDIENTES A MEJORAR LAS CONDICIONES DE LOS ADULTOS MAYORES DEL MUNICIPIO DE BUCARAMANGA</v>
      </c>
      <c r="E6" s="13" t="s">
        <v>28</v>
      </c>
      <c r="F6" s="15" t="s">
        <v>22</v>
      </c>
      <c r="G6" s="15" t="s">
        <v>23</v>
      </c>
      <c r="H6" s="15" t="s">
        <v>23</v>
      </c>
      <c r="I6" s="13" t="s">
        <v>29</v>
      </c>
      <c r="J6" s="13" t="s">
        <v>25</v>
      </c>
      <c r="K6" s="16">
        <v>44944</v>
      </c>
      <c r="L6" s="17">
        <v>116020</v>
      </c>
      <c r="M6" s="17">
        <v>116020</v>
      </c>
      <c r="N6" s="18">
        <v>116020</v>
      </c>
      <c r="O6" s="15" t="s">
        <v>23</v>
      </c>
      <c r="Q6" s="13">
        <v>441</v>
      </c>
      <c r="R6" s="13" t="s">
        <v>26</v>
      </c>
      <c r="S6" s="13" t="s">
        <v>30</v>
      </c>
      <c r="T6" s="13" t="s">
        <v>16</v>
      </c>
      <c r="U6" s="17">
        <f t="shared" si="0"/>
        <v>0</v>
      </c>
    </row>
    <row r="7" spans="1:21" x14ac:dyDescent="0.3">
      <c r="A7" s="13">
        <v>93</v>
      </c>
      <c r="B7" s="13" t="str">
        <f>+VLOOKUP(A7,'[1]PA 2023'!$A$8:$E$84,5)</f>
        <v>Mantener en funcionamiento los 3 Centros Vida con la prestacion de servicios integrales y/o dotacion de los mismos cumpliendo con la oferta institucional.</v>
      </c>
      <c r="C7" s="14">
        <v>2020680010040</v>
      </c>
      <c r="D7" s="14" t="str">
        <f>+VLOOKUP(C7,'[1]PA 2023'!$G$8:$H$84,2,FALSE)</f>
        <v>IMPLEMENTACIÓN DE ACCIONES TENDIENTES A MEJORAR LAS CONDICIONES DE LOS ADULTOS MAYORES DEL MUNICIPIO DE BUCARAMANGA</v>
      </c>
      <c r="E7" s="13" t="s">
        <v>31</v>
      </c>
      <c r="F7" s="15" t="s">
        <v>22</v>
      </c>
      <c r="G7" s="15" t="s">
        <v>23</v>
      </c>
      <c r="H7" s="15" t="s">
        <v>23</v>
      </c>
      <c r="I7" s="13" t="s">
        <v>32</v>
      </c>
      <c r="J7" s="13" t="s">
        <v>25</v>
      </c>
      <c r="K7" s="16">
        <v>44944</v>
      </c>
      <c r="L7" s="17">
        <v>83650</v>
      </c>
      <c r="M7" s="17">
        <v>83650</v>
      </c>
      <c r="N7" s="18">
        <v>83650</v>
      </c>
      <c r="O7" s="15" t="s">
        <v>23</v>
      </c>
      <c r="Q7" s="13">
        <v>442</v>
      </c>
      <c r="R7" s="13" t="s">
        <v>26</v>
      </c>
      <c r="S7" s="13" t="s">
        <v>33</v>
      </c>
      <c r="T7" s="13" t="s">
        <v>16</v>
      </c>
      <c r="U7" s="17">
        <f t="shared" si="0"/>
        <v>0</v>
      </c>
    </row>
    <row r="8" spans="1:21" x14ac:dyDescent="0.3">
      <c r="A8" s="13">
        <v>300</v>
      </c>
      <c r="B8" s="13" t="str">
        <f>+VLOOKUP(A8,'[1]PA 2023'!$A$8:$E$84,5)</f>
        <v>Mantener el 100% de los programas que desarrolla la Administración Central.</v>
      </c>
      <c r="C8" s="14">
        <v>2020680010025</v>
      </c>
      <c r="D8" s="14" t="str">
        <f>+VLOOKUP(C8,'[1]PA 2023'!$G$8:$H$84,2,FALSE)</f>
        <v>MEJORAMIENTO DE LOS PROCESOS TRANSVERSALES PARA UNA ADMINISTRACIÓN PUBLICA MODERNA Y EFICIENTE EN LA SECRETARÍA DE DESARROLLO SOCIAL DEL MUNICIPIO BUCARAMANGA</v>
      </c>
      <c r="E8" s="13" t="s">
        <v>34</v>
      </c>
      <c r="F8" s="15">
        <v>479</v>
      </c>
      <c r="G8" s="21" t="s">
        <v>35</v>
      </c>
      <c r="H8" s="22" t="s">
        <v>36</v>
      </c>
      <c r="I8" s="13" t="s">
        <v>37</v>
      </c>
      <c r="J8" s="13" t="s">
        <v>38</v>
      </c>
      <c r="K8" s="16">
        <v>44946</v>
      </c>
      <c r="L8" s="17">
        <v>12000000</v>
      </c>
      <c r="M8" s="17">
        <v>12000000</v>
      </c>
      <c r="N8" s="18">
        <f>1100000+6000000+3000000+1900000</f>
        <v>12000000</v>
      </c>
      <c r="O8" s="22" t="s">
        <v>39</v>
      </c>
      <c r="Q8" s="13">
        <v>560</v>
      </c>
      <c r="R8" s="13" t="s">
        <v>40</v>
      </c>
      <c r="S8" s="13" t="s">
        <v>41</v>
      </c>
      <c r="T8" s="13" t="s">
        <v>16</v>
      </c>
      <c r="U8" s="17">
        <f t="shared" si="0"/>
        <v>0</v>
      </c>
    </row>
    <row r="9" spans="1:21" x14ac:dyDescent="0.3">
      <c r="A9" s="13">
        <v>300</v>
      </c>
      <c r="B9" s="13" t="str">
        <f>+VLOOKUP(A9,'[1]PA 2023'!$A$8:$E$84,5)</f>
        <v>Mantener el 100% de los programas que desarrolla la Administración Central.</v>
      </c>
      <c r="C9" s="14">
        <v>2020680010025</v>
      </c>
      <c r="D9" s="14" t="str">
        <f>+VLOOKUP(C9,'[1]PA 2023'!$G$8:$H$84,2,FALSE)</f>
        <v>MEJORAMIENTO DE LOS PROCESOS TRANSVERSALES PARA UNA ADMINISTRACIÓN PUBLICA MODERNA Y EFICIENTE EN LA SECRETARÍA DE DESARROLLO SOCIAL DEL MUNICIPIO BUCARAMANGA</v>
      </c>
      <c r="E9" s="13" t="s">
        <v>42</v>
      </c>
      <c r="F9" s="15">
        <v>481</v>
      </c>
      <c r="G9" s="21" t="s">
        <v>43</v>
      </c>
      <c r="H9" s="22" t="s">
        <v>36</v>
      </c>
      <c r="I9" s="13" t="s">
        <v>44</v>
      </c>
      <c r="J9" s="13" t="s">
        <v>38</v>
      </c>
      <c r="K9" s="16">
        <v>44946</v>
      </c>
      <c r="L9" s="17">
        <v>16000000</v>
      </c>
      <c r="M9" s="17">
        <v>16000000</v>
      </c>
      <c r="N9" s="18">
        <f t="shared" ref="N9:N14" si="1">1466666.67+8000000+4000000+2533333.33</f>
        <v>16000000</v>
      </c>
      <c r="O9" s="22" t="s">
        <v>45</v>
      </c>
      <c r="Q9" s="13">
        <v>561</v>
      </c>
      <c r="R9" s="13" t="s">
        <v>40</v>
      </c>
      <c r="S9" s="13" t="s">
        <v>46</v>
      </c>
      <c r="T9" s="13" t="s">
        <v>16</v>
      </c>
      <c r="U9" s="17">
        <f t="shared" si="0"/>
        <v>0</v>
      </c>
    </row>
    <row r="10" spans="1:21" x14ac:dyDescent="0.3">
      <c r="A10" s="13">
        <v>300</v>
      </c>
      <c r="B10" s="13" t="str">
        <f>+VLOOKUP(A10,'[1]PA 2023'!$A$8:$E$84,5)</f>
        <v>Mantener el 100% de los programas que desarrolla la Administración Central.</v>
      </c>
      <c r="C10" s="14">
        <v>2020680010025</v>
      </c>
      <c r="D10" s="14" t="str">
        <f>+VLOOKUP(C10,'[1]PA 2023'!$G$8:$H$84,2,FALSE)</f>
        <v>MEJORAMIENTO DE LOS PROCESOS TRANSVERSALES PARA UNA ADMINISTRACIÓN PUBLICA MODERNA Y EFICIENTE EN LA SECRETARÍA DE DESARROLLO SOCIAL DEL MUNICIPIO BUCARAMANGA</v>
      </c>
      <c r="E10" s="13" t="s">
        <v>47</v>
      </c>
      <c r="F10" s="15">
        <v>480</v>
      </c>
      <c r="G10" s="21" t="s">
        <v>43</v>
      </c>
      <c r="H10" s="22" t="s">
        <v>36</v>
      </c>
      <c r="I10" s="13" t="s">
        <v>48</v>
      </c>
      <c r="J10" s="13" t="s">
        <v>38</v>
      </c>
      <c r="K10" s="16">
        <v>44946</v>
      </c>
      <c r="L10" s="17">
        <v>16000000</v>
      </c>
      <c r="M10" s="17">
        <v>16000000</v>
      </c>
      <c r="N10" s="18">
        <f t="shared" si="1"/>
        <v>16000000</v>
      </c>
      <c r="O10" s="22" t="s">
        <v>49</v>
      </c>
      <c r="Q10" s="13">
        <v>562</v>
      </c>
      <c r="R10" s="13" t="s">
        <v>40</v>
      </c>
      <c r="S10" s="13" t="s">
        <v>50</v>
      </c>
      <c r="T10" s="13" t="s">
        <v>16</v>
      </c>
      <c r="U10" s="17">
        <f t="shared" si="0"/>
        <v>0</v>
      </c>
    </row>
    <row r="11" spans="1:21" x14ac:dyDescent="0.3">
      <c r="A11" s="13">
        <v>300</v>
      </c>
      <c r="B11" s="13" t="str">
        <f>+VLOOKUP(A11,'[1]PA 2023'!$A$8:$E$84,5)</f>
        <v>Mantener el 100% de los programas que desarrolla la Administración Central.</v>
      </c>
      <c r="C11" s="14">
        <v>2020680010025</v>
      </c>
      <c r="D11" s="14" t="str">
        <f>+VLOOKUP(C11,'[1]PA 2023'!$G$8:$H$84,2,FALSE)</f>
        <v>MEJORAMIENTO DE LOS PROCESOS TRANSVERSALES PARA UNA ADMINISTRACIÓN PUBLICA MODERNA Y EFICIENTE EN LA SECRETARÍA DE DESARROLLO SOCIAL DEL MUNICIPIO BUCARAMANGA</v>
      </c>
      <c r="E11" s="13" t="s">
        <v>51</v>
      </c>
      <c r="F11" s="15">
        <v>482</v>
      </c>
      <c r="G11" s="21" t="s">
        <v>43</v>
      </c>
      <c r="H11" s="22" t="s">
        <v>36</v>
      </c>
      <c r="I11" s="13" t="s">
        <v>52</v>
      </c>
      <c r="J11" s="13" t="s">
        <v>38</v>
      </c>
      <c r="K11" s="16">
        <v>44946</v>
      </c>
      <c r="L11" s="17">
        <v>16000000</v>
      </c>
      <c r="M11" s="17">
        <v>16000000</v>
      </c>
      <c r="N11" s="18">
        <f t="shared" si="1"/>
        <v>16000000</v>
      </c>
      <c r="O11" s="22" t="s">
        <v>53</v>
      </c>
      <c r="Q11" s="13">
        <v>563</v>
      </c>
      <c r="R11" s="13" t="s">
        <v>40</v>
      </c>
      <c r="S11" s="13" t="s">
        <v>54</v>
      </c>
      <c r="T11" s="13" t="s">
        <v>16</v>
      </c>
      <c r="U11" s="17">
        <f t="shared" si="0"/>
        <v>0</v>
      </c>
    </row>
    <row r="12" spans="1:21" x14ac:dyDescent="0.3">
      <c r="A12" s="13">
        <v>300</v>
      </c>
      <c r="B12" s="13" t="str">
        <f>+VLOOKUP(A12,'[1]PA 2023'!$A$8:$E$84,5)</f>
        <v>Mantener el 100% de los programas que desarrolla la Administración Central.</v>
      </c>
      <c r="C12" s="14">
        <v>2020680010025</v>
      </c>
      <c r="D12" s="14" t="str">
        <f>+VLOOKUP(C12,'[1]PA 2023'!$G$8:$H$84,2,FALSE)</f>
        <v>MEJORAMIENTO DE LOS PROCESOS TRANSVERSALES PARA UNA ADMINISTRACIÓN PUBLICA MODERNA Y EFICIENTE EN LA SECRETARÍA DE DESARROLLO SOCIAL DEL MUNICIPIO BUCARAMANGA</v>
      </c>
      <c r="E12" s="13" t="s">
        <v>55</v>
      </c>
      <c r="F12" s="15">
        <v>490</v>
      </c>
      <c r="G12" s="21" t="s">
        <v>43</v>
      </c>
      <c r="H12" s="22" t="s">
        <v>36</v>
      </c>
      <c r="I12" s="13" t="s">
        <v>56</v>
      </c>
      <c r="J12" s="13" t="s">
        <v>38</v>
      </c>
      <c r="K12" s="16">
        <v>44946</v>
      </c>
      <c r="L12" s="17">
        <v>16000000</v>
      </c>
      <c r="M12" s="17">
        <v>16000000</v>
      </c>
      <c r="N12" s="18">
        <f t="shared" si="1"/>
        <v>16000000</v>
      </c>
      <c r="O12" s="22" t="s">
        <v>57</v>
      </c>
      <c r="Q12" s="13">
        <v>564</v>
      </c>
      <c r="R12" s="13" t="s">
        <v>40</v>
      </c>
      <c r="S12" s="13" t="s">
        <v>58</v>
      </c>
      <c r="T12" s="13" t="s">
        <v>16</v>
      </c>
      <c r="U12" s="17">
        <f t="shared" si="0"/>
        <v>0</v>
      </c>
    </row>
    <row r="13" spans="1:21" x14ac:dyDescent="0.3">
      <c r="A13" s="13">
        <v>300</v>
      </c>
      <c r="B13" s="13" t="str">
        <f>+VLOOKUP(A13,'[1]PA 2023'!$A$8:$E$84,5)</f>
        <v>Mantener el 100% de los programas que desarrolla la Administración Central.</v>
      </c>
      <c r="C13" s="14">
        <v>2020680010025</v>
      </c>
      <c r="D13" s="14" t="str">
        <f>+VLOOKUP(C13,'[1]PA 2023'!$G$8:$H$84,2,FALSE)</f>
        <v>MEJORAMIENTO DE LOS PROCESOS TRANSVERSALES PARA UNA ADMINISTRACIÓN PUBLICA MODERNA Y EFICIENTE EN LA SECRETARÍA DE DESARROLLO SOCIAL DEL MUNICIPIO BUCARAMANGA</v>
      </c>
      <c r="E13" s="13" t="s">
        <v>59</v>
      </c>
      <c r="F13" s="15">
        <v>491</v>
      </c>
      <c r="G13" s="21" t="s">
        <v>43</v>
      </c>
      <c r="H13" s="22" t="s">
        <v>36</v>
      </c>
      <c r="I13" s="13" t="s">
        <v>60</v>
      </c>
      <c r="J13" s="13" t="s">
        <v>61</v>
      </c>
      <c r="K13" s="16">
        <v>44946</v>
      </c>
      <c r="L13" s="17">
        <v>16000000</v>
      </c>
      <c r="M13" s="17">
        <v>16000000</v>
      </c>
      <c r="N13" s="18">
        <f t="shared" si="1"/>
        <v>16000000</v>
      </c>
      <c r="O13" s="22" t="s">
        <v>62</v>
      </c>
      <c r="Q13" s="13">
        <v>565</v>
      </c>
      <c r="R13" s="13" t="s">
        <v>63</v>
      </c>
      <c r="S13" s="13" t="s">
        <v>64</v>
      </c>
      <c r="T13" s="13" t="s">
        <v>16</v>
      </c>
      <c r="U13" s="17">
        <f t="shared" si="0"/>
        <v>0</v>
      </c>
    </row>
    <row r="14" spans="1:21" x14ac:dyDescent="0.3">
      <c r="A14" s="13">
        <v>300</v>
      </c>
      <c r="B14" s="13" t="str">
        <f>+VLOOKUP(A14,'[1]PA 2023'!$A$8:$E$84,5)</f>
        <v>Mantener el 100% de los programas que desarrolla la Administración Central.</v>
      </c>
      <c r="C14" s="14">
        <v>2020680010025</v>
      </c>
      <c r="D14" s="14" t="str">
        <f>+VLOOKUP(C14,'[1]PA 2023'!$G$8:$H$84,2,FALSE)</f>
        <v>MEJORAMIENTO DE LOS PROCESOS TRANSVERSALES PARA UNA ADMINISTRACIÓN PUBLICA MODERNA Y EFICIENTE EN LA SECRETARÍA DE DESARROLLO SOCIAL DEL MUNICIPIO BUCARAMANGA</v>
      </c>
      <c r="E14" s="13" t="s">
        <v>65</v>
      </c>
      <c r="F14" s="15">
        <v>484</v>
      </c>
      <c r="G14" s="21" t="s">
        <v>43</v>
      </c>
      <c r="H14" s="22" t="s">
        <v>36</v>
      </c>
      <c r="I14" s="13" t="s">
        <v>66</v>
      </c>
      <c r="J14" s="13" t="s">
        <v>38</v>
      </c>
      <c r="K14" s="16">
        <v>44946</v>
      </c>
      <c r="L14" s="17">
        <v>16000000</v>
      </c>
      <c r="M14" s="17">
        <v>16000000</v>
      </c>
      <c r="N14" s="18">
        <f t="shared" si="1"/>
        <v>16000000</v>
      </c>
      <c r="O14" s="22" t="s">
        <v>67</v>
      </c>
      <c r="Q14" s="13">
        <v>571</v>
      </c>
      <c r="R14" s="13" t="s">
        <v>40</v>
      </c>
      <c r="S14" s="13" t="s">
        <v>68</v>
      </c>
      <c r="T14" s="13" t="s">
        <v>16</v>
      </c>
      <c r="U14" s="17">
        <f t="shared" si="0"/>
        <v>0</v>
      </c>
    </row>
    <row r="15" spans="1:21" x14ac:dyDescent="0.3">
      <c r="A15" s="13">
        <v>300</v>
      </c>
      <c r="B15" s="13" t="str">
        <f>+VLOOKUP(A15,'[1]PA 2023'!$A$8:$E$84,5)</f>
        <v>Mantener el 100% de los programas que desarrolla la Administración Central.</v>
      </c>
      <c r="C15" s="14">
        <v>2020680010025</v>
      </c>
      <c r="D15" s="14" t="str">
        <f>+VLOOKUP(C15,'[1]PA 2023'!$G$8:$H$84,2,FALSE)</f>
        <v>MEJORAMIENTO DE LOS PROCESOS TRANSVERSALES PARA UNA ADMINISTRACIÓN PUBLICA MODERNA Y EFICIENTE EN LA SECRETARÍA DE DESARROLLO SOCIAL DEL MUNICIPIO BUCARAMANGA</v>
      </c>
      <c r="E15" s="13" t="s">
        <v>69</v>
      </c>
      <c r="F15" s="15">
        <v>478</v>
      </c>
      <c r="G15" s="21" t="s">
        <v>35</v>
      </c>
      <c r="H15" s="22" t="s">
        <v>36</v>
      </c>
      <c r="I15" s="13" t="s">
        <v>70</v>
      </c>
      <c r="J15" s="13" t="s">
        <v>38</v>
      </c>
      <c r="K15" s="16">
        <v>44946</v>
      </c>
      <c r="L15" s="17">
        <v>10000000</v>
      </c>
      <c r="M15" s="17">
        <v>10000000</v>
      </c>
      <c r="N15" s="18">
        <f>916666.67+5000000+2500000+1583333.33</f>
        <v>10000000</v>
      </c>
      <c r="O15" s="22" t="s">
        <v>71</v>
      </c>
      <c r="Q15" s="13">
        <v>572</v>
      </c>
      <c r="R15" s="13" t="s">
        <v>40</v>
      </c>
      <c r="S15" s="13" t="s">
        <v>72</v>
      </c>
      <c r="T15" s="13" t="s">
        <v>16</v>
      </c>
      <c r="U15" s="17">
        <f t="shared" si="0"/>
        <v>0</v>
      </c>
    </row>
    <row r="16" spans="1:21" x14ac:dyDescent="0.3">
      <c r="A16" s="13">
        <v>300</v>
      </c>
      <c r="B16" s="13" t="str">
        <f>+VLOOKUP(A16,'[1]PA 2023'!$A$8:$E$84,5)</f>
        <v>Mantener el 100% de los programas que desarrolla la Administración Central.</v>
      </c>
      <c r="C16" s="14">
        <v>2020680010025</v>
      </c>
      <c r="D16" s="14" t="str">
        <f>+VLOOKUP(C16,'[1]PA 2023'!$G$8:$H$84,2,FALSE)</f>
        <v>MEJORAMIENTO DE LOS PROCESOS TRANSVERSALES PARA UNA ADMINISTRACIÓN PUBLICA MODERNA Y EFICIENTE EN LA SECRETARÍA DE DESARROLLO SOCIAL DEL MUNICIPIO BUCARAMANGA</v>
      </c>
      <c r="E16" s="13" t="s">
        <v>47</v>
      </c>
      <c r="F16" s="15">
        <v>483</v>
      </c>
      <c r="G16" s="21" t="s">
        <v>43</v>
      </c>
      <c r="H16" s="22" t="s">
        <v>36</v>
      </c>
      <c r="I16" s="13" t="s">
        <v>73</v>
      </c>
      <c r="J16" s="13" t="s">
        <v>38</v>
      </c>
      <c r="K16" s="16">
        <v>44946</v>
      </c>
      <c r="L16" s="17">
        <v>16000000</v>
      </c>
      <c r="M16" s="17">
        <v>16000000</v>
      </c>
      <c r="N16" s="18">
        <f>1466666.67+8000000+4000000+2533333.33</f>
        <v>16000000</v>
      </c>
      <c r="O16" s="22" t="s">
        <v>74</v>
      </c>
      <c r="Q16" s="13">
        <v>573</v>
      </c>
      <c r="R16" s="13" t="s">
        <v>40</v>
      </c>
      <c r="S16" s="13" t="s">
        <v>75</v>
      </c>
      <c r="T16" s="13" t="s">
        <v>16</v>
      </c>
      <c r="U16" s="17">
        <f t="shared" si="0"/>
        <v>0</v>
      </c>
    </row>
    <row r="17" spans="1:21" x14ac:dyDescent="0.3">
      <c r="A17" s="13">
        <v>300</v>
      </c>
      <c r="B17" s="13" t="str">
        <f>+VLOOKUP(A17,'[1]PA 2023'!$A$8:$E$84,5)</f>
        <v>Mantener el 100% de los programas que desarrolla la Administración Central.</v>
      </c>
      <c r="C17" s="14">
        <v>2020680010025</v>
      </c>
      <c r="D17" s="14" t="str">
        <f>+VLOOKUP(C17,'[1]PA 2023'!$G$8:$H$84,2,FALSE)</f>
        <v>MEJORAMIENTO DE LOS PROCESOS TRANSVERSALES PARA UNA ADMINISTRACIÓN PUBLICA MODERNA Y EFICIENTE EN LA SECRETARÍA DE DESARROLLO SOCIAL DEL MUNICIPIO BUCARAMANGA</v>
      </c>
      <c r="E17" s="13" t="s">
        <v>76</v>
      </c>
      <c r="F17" s="15">
        <v>489</v>
      </c>
      <c r="G17" s="21" t="s">
        <v>43</v>
      </c>
      <c r="H17" s="22" t="s">
        <v>36</v>
      </c>
      <c r="I17" s="13" t="s">
        <v>77</v>
      </c>
      <c r="J17" s="13" t="s">
        <v>38</v>
      </c>
      <c r="K17" s="16">
        <v>44946</v>
      </c>
      <c r="L17" s="17">
        <v>20800000</v>
      </c>
      <c r="M17" s="17">
        <v>20800000</v>
      </c>
      <c r="N17" s="18">
        <f>1906666.67+10400000+5200000+3293333.33</f>
        <v>20800000</v>
      </c>
      <c r="O17" s="22" t="s">
        <v>78</v>
      </c>
      <c r="Q17" s="13">
        <v>574</v>
      </c>
      <c r="R17" s="13" t="s">
        <v>40</v>
      </c>
      <c r="S17" s="13" t="s">
        <v>79</v>
      </c>
      <c r="T17" s="13" t="s">
        <v>16</v>
      </c>
      <c r="U17" s="17">
        <f t="shared" si="0"/>
        <v>0</v>
      </c>
    </row>
    <row r="18" spans="1:21" x14ac:dyDescent="0.3">
      <c r="A18" s="13">
        <v>300</v>
      </c>
      <c r="B18" s="13" t="str">
        <f>+VLOOKUP(A18,'[1]PA 2023'!$A$8:$E$84,5)</f>
        <v>Mantener el 100% de los programas que desarrolla la Administración Central.</v>
      </c>
      <c r="C18" s="14">
        <v>2020680010025</v>
      </c>
      <c r="D18" s="14" t="str">
        <f>+VLOOKUP(C18,'[1]PA 2023'!$G$8:$H$84,2,FALSE)</f>
        <v>MEJORAMIENTO DE LOS PROCESOS TRANSVERSALES PARA UNA ADMINISTRACIÓN PUBLICA MODERNA Y EFICIENTE EN LA SECRETARÍA DE DESARROLLO SOCIAL DEL MUNICIPIO BUCARAMANGA</v>
      </c>
      <c r="E18" s="13" t="s">
        <v>80</v>
      </c>
      <c r="F18" s="15">
        <v>517</v>
      </c>
      <c r="G18" s="21" t="s">
        <v>43</v>
      </c>
      <c r="H18" s="22" t="s">
        <v>36</v>
      </c>
      <c r="I18" s="13" t="s">
        <v>81</v>
      </c>
      <c r="J18" s="13" t="s">
        <v>38</v>
      </c>
      <c r="K18" s="16">
        <v>44946</v>
      </c>
      <c r="L18" s="17">
        <v>18000000</v>
      </c>
      <c r="M18" s="17">
        <v>18000000</v>
      </c>
      <c r="N18" s="18">
        <f>1500000+9000000+4500000+3000000</f>
        <v>18000000</v>
      </c>
      <c r="O18" s="22" t="s">
        <v>82</v>
      </c>
      <c r="Q18" s="13">
        <v>607</v>
      </c>
      <c r="R18" s="13" t="s">
        <v>40</v>
      </c>
      <c r="S18" s="13" t="s">
        <v>83</v>
      </c>
      <c r="T18" s="13" t="s">
        <v>16</v>
      </c>
      <c r="U18" s="17">
        <f t="shared" si="0"/>
        <v>0</v>
      </c>
    </row>
    <row r="19" spans="1:21" x14ac:dyDescent="0.3">
      <c r="A19" s="13">
        <v>300</v>
      </c>
      <c r="B19" s="13" t="str">
        <f>+VLOOKUP(A19,'[1]PA 2023'!$A$8:$E$84,5)</f>
        <v>Mantener el 100% de los programas que desarrolla la Administración Central.</v>
      </c>
      <c r="C19" s="14">
        <v>2020680010025</v>
      </c>
      <c r="D19" s="14" t="str">
        <f>+VLOOKUP(C19,'[1]PA 2023'!$G$8:$H$84,2,FALSE)</f>
        <v>MEJORAMIENTO DE LOS PROCESOS TRANSVERSALES PARA UNA ADMINISTRACIÓN PUBLICA MODERNA Y EFICIENTE EN LA SECRETARÍA DE DESARROLLO SOCIAL DEL MUNICIPIO BUCARAMANGA</v>
      </c>
      <c r="E19" s="13" t="s">
        <v>84</v>
      </c>
      <c r="F19" s="15">
        <v>549</v>
      </c>
      <c r="G19" s="21" t="s">
        <v>43</v>
      </c>
      <c r="H19" s="22" t="s">
        <v>36</v>
      </c>
      <c r="I19" s="13" t="s">
        <v>85</v>
      </c>
      <c r="J19" s="13" t="s">
        <v>38</v>
      </c>
      <c r="K19" s="16">
        <v>44946</v>
      </c>
      <c r="L19" s="17">
        <v>16000000</v>
      </c>
      <c r="M19" s="17">
        <v>16000000</v>
      </c>
      <c r="N19" s="18">
        <f>1333333.33+8000000+4000000+2666666.67</f>
        <v>16000000</v>
      </c>
      <c r="O19" s="22" t="s">
        <v>86</v>
      </c>
      <c r="Q19" s="13">
        <v>628</v>
      </c>
      <c r="R19" s="13" t="s">
        <v>40</v>
      </c>
      <c r="S19" s="13" t="s">
        <v>87</v>
      </c>
      <c r="T19" s="13" t="s">
        <v>16</v>
      </c>
      <c r="U19" s="17">
        <f t="shared" si="0"/>
        <v>0</v>
      </c>
    </row>
    <row r="20" spans="1:21" x14ac:dyDescent="0.3">
      <c r="A20" s="13">
        <v>300</v>
      </c>
      <c r="B20" s="13" t="str">
        <f>+VLOOKUP(A20,'[1]PA 2023'!$A$8:$E$84,5)</f>
        <v>Mantener el 100% de los programas que desarrolla la Administración Central.</v>
      </c>
      <c r="C20" s="14">
        <v>2020680010025</v>
      </c>
      <c r="D20" s="14" t="str">
        <f>+VLOOKUP(C20,'[1]PA 2023'!$G$8:$H$84,2,FALSE)</f>
        <v>MEJORAMIENTO DE LOS PROCESOS TRANSVERSALES PARA UNA ADMINISTRACIÓN PUBLICA MODERNA Y EFICIENTE EN LA SECRETARÍA DE DESARROLLO SOCIAL DEL MUNICIPIO BUCARAMANGA</v>
      </c>
      <c r="E20" s="13" t="s">
        <v>88</v>
      </c>
      <c r="F20" s="15">
        <v>560</v>
      </c>
      <c r="G20" s="21" t="s">
        <v>43</v>
      </c>
      <c r="H20" s="22" t="s">
        <v>36</v>
      </c>
      <c r="I20" s="13" t="s">
        <v>89</v>
      </c>
      <c r="J20" s="13" t="s">
        <v>38</v>
      </c>
      <c r="K20" s="16">
        <v>44946</v>
      </c>
      <c r="L20" s="17">
        <v>16000000</v>
      </c>
      <c r="M20" s="17">
        <v>16000000</v>
      </c>
      <c r="N20" s="18">
        <f>1333333.33+8000000+4000000+2666666.67</f>
        <v>16000000</v>
      </c>
      <c r="O20" s="22" t="s">
        <v>90</v>
      </c>
      <c r="Q20" s="13">
        <v>647</v>
      </c>
      <c r="R20" s="13" t="s">
        <v>40</v>
      </c>
      <c r="S20" s="13" t="s">
        <v>91</v>
      </c>
      <c r="T20" s="13" t="s">
        <v>16</v>
      </c>
      <c r="U20" s="17">
        <f t="shared" si="0"/>
        <v>0</v>
      </c>
    </row>
    <row r="21" spans="1:21" x14ac:dyDescent="0.3">
      <c r="A21" s="13">
        <v>300</v>
      </c>
      <c r="B21" s="13" t="str">
        <f>+VLOOKUP(A21,'[1]PA 2023'!$A$8:$E$84,5)</f>
        <v>Mantener el 100% de los programas que desarrolla la Administración Central.</v>
      </c>
      <c r="C21" s="14">
        <v>2020680010025</v>
      </c>
      <c r="D21" s="14" t="str">
        <f>+VLOOKUP(C21,'[1]PA 2023'!$G$8:$H$84,2,FALSE)</f>
        <v>MEJORAMIENTO DE LOS PROCESOS TRANSVERSALES PARA UNA ADMINISTRACIÓN PUBLICA MODERNA Y EFICIENTE EN LA SECRETARÍA DE DESARROLLO SOCIAL DEL MUNICIPIO BUCARAMANGA</v>
      </c>
      <c r="E21" s="13" t="s">
        <v>92</v>
      </c>
      <c r="F21" s="15">
        <v>561</v>
      </c>
      <c r="G21" s="21" t="s">
        <v>35</v>
      </c>
      <c r="H21" s="22" t="s">
        <v>36</v>
      </c>
      <c r="I21" s="13" t="s">
        <v>93</v>
      </c>
      <c r="J21" s="13" t="s">
        <v>38</v>
      </c>
      <c r="K21" s="16">
        <v>44946</v>
      </c>
      <c r="L21" s="17">
        <v>12000000</v>
      </c>
      <c r="M21" s="17">
        <v>12000000</v>
      </c>
      <c r="N21" s="18">
        <f>1000000+6000000+3000000+2000000</f>
        <v>12000000</v>
      </c>
      <c r="O21" s="22" t="s">
        <v>94</v>
      </c>
      <c r="Q21" s="13">
        <v>648</v>
      </c>
      <c r="R21" s="13" t="s">
        <v>40</v>
      </c>
      <c r="S21" s="13" t="s">
        <v>95</v>
      </c>
      <c r="T21" s="13" t="s">
        <v>16</v>
      </c>
      <c r="U21" s="17">
        <f t="shared" si="0"/>
        <v>0</v>
      </c>
    </row>
    <row r="22" spans="1:21" x14ac:dyDescent="0.3">
      <c r="A22" s="13">
        <v>300</v>
      </c>
      <c r="B22" s="13" t="str">
        <f>+VLOOKUP(A22,'[1]PA 2023'!$A$8:$E$84,5)</f>
        <v>Mantener el 100% de los programas que desarrolla la Administración Central.</v>
      </c>
      <c r="C22" s="14">
        <v>2020680010025</v>
      </c>
      <c r="D22" s="14" t="str">
        <f>+VLOOKUP(C22,'[1]PA 2023'!$G$8:$H$84,2,FALSE)</f>
        <v>MEJORAMIENTO DE LOS PROCESOS TRANSVERSALES PARA UNA ADMINISTRACIÓN PUBLICA MODERNA Y EFICIENTE EN LA SECRETARÍA DE DESARROLLO SOCIAL DEL MUNICIPIO BUCARAMANGA</v>
      </c>
      <c r="E22" s="13" t="s">
        <v>59</v>
      </c>
      <c r="F22" s="15">
        <v>562</v>
      </c>
      <c r="G22" s="21" t="s">
        <v>43</v>
      </c>
      <c r="H22" s="22" t="s">
        <v>36</v>
      </c>
      <c r="I22" s="13" t="s">
        <v>96</v>
      </c>
      <c r="J22" s="13" t="s">
        <v>61</v>
      </c>
      <c r="K22" s="16">
        <v>44946</v>
      </c>
      <c r="L22" s="17">
        <v>20800000</v>
      </c>
      <c r="M22" s="17">
        <v>20800000</v>
      </c>
      <c r="N22" s="18">
        <f>1386666.67+10400000+5200000+3813333.33</f>
        <v>20800000</v>
      </c>
      <c r="O22" s="22" t="s">
        <v>97</v>
      </c>
      <c r="Q22" s="13">
        <v>649</v>
      </c>
      <c r="R22" s="13" t="s">
        <v>63</v>
      </c>
      <c r="S22" s="13" t="s">
        <v>98</v>
      </c>
      <c r="T22" s="13" t="s">
        <v>16</v>
      </c>
      <c r="U22" s="17">
        <f t="shared" si="0"/>
        <v>0</v>
      </c>
    </row>
    <row r="23" spans="1:21" x14ac:dyDescent="0.3">
      <c r="A23" s="13">
        <v>300</v>
      </c>
      <c r="B23" s="13" t="str">
        <f>+VLOOKUP(A23,'[1]PA 2023'!$A$8:$E$84,5)</f>
        <v>Mantener el 100% de los programas que desarrolla la Administración Central.</v>
      </c>
      <c r="C23" s="14">
        <v>2020680010025</v>
      </c>
      <c r="D23" s="14" t="str">
        <f>+VLOOKUP(C23,'[1]PA 2023'!$G$8:$H$84,2,FALSE)</f>
        <v>MEJORAMIENTO DE LOS PROCESOS TRANSVERSALES PARA UNA ADMINISTRACIÓN PUBLICA MODERNA Y EFICIENTE EN LA SECRETARÍA DE DESARROLLO SOCIAL DEL MUNICIPIO BUCARAMANGA</v>
      </c>
      <c r="E23" s="13" t="s">
        <v>99</v>
      </c>
      <c r="F23" s="15">
        <v>563</v>
      </c>
      <c r="G23" s="21" t="s">
        <v>43</v>
      </c>
      <c r="H23" s="22" t="s">
        <v>36</v>
      </c>
      <c r="I23" s="13" t="s">
        <v>100</v>
      </c>
      <c r="J23" s="13" t="s">
        <v>38</v>
      </c>
      <c r="K23" s="16">
        <v>44946</v>
      </c>
      <c r="L23" s="17">
        <v>22000000</v>
      </c>
      <c r="M23" s="17">
        <v>22000000</v>
      </c>
      <c r="N23" s="18">
        <f>12833333.33+5500000+3666666.67</f>
        <v>22000000</v>
      </c>
      <c r="O23" s="22" t="s">
        <v>101</v>
      </c>
      <c r="Q23" s="13">
        <v>650</v>
      </c>
      <c r="R23" s="13" t="s">
        <v>40</v>
      </c>
      <c r="S23" s="13" t="s">
        <v>102</v>
      </c>
      <c r="T23" s="13" t="s">
        <v>16</v>
      </c>
      <c r="U23" s="17">
        <f t="shared" si="0"/>
        <v>0</v>
      </c>
    </row>
    <row r="24" spans="1:21" x14ac:dyDescent="0.3">
      <c r="A24" s="13">
        <v>300</v>
      </c>
      <c r="B24" s="13" t="str">
        <f>+VLOOKUP(A24,'[1]PA 2023'!$A$8:$E$84,5)</f>
        <v>Mantener el 100% de los programas que desarrolla la Administración Central.</v>
      </c>
      <c r="C24" s="14">
        <v>2020680010025</v>
      </c>
      <c r="D24" s="14" t="str">
        <f>+VLOOKUP(C24,'[1]PA 2023'!$G$8:$H$84,2,FALSE)</f>
        <v>MEJORAMIENTO DE LOS PROCESOS TRANSVERSALES PARA UNA ADMINISTRACIÓN PUBLICA MODERNA Y EFICIENTE EN LA SECRETARÍA DE DESARROLLO SOCIAL DEL MUNICIPIO BUCARAMANGA</v>
      </c>
      <c r="E24" s="13" t="s">
        <v>103</v>
      </c>
      <c r="F24" s="15">
        <v>559</v>
      </c>
      <c r="G24" s="21" t="s">
        <v>43</v>
      </c>
      <c r="H24" s="22" t="s">
        <v>36</v>
      </c>
      <c r="I24" s="13" t="s">
        <v>104</v>
      </c>
      <c r="J24" s="13" t="s">
        <v>61</v>
      </c>
      <c r="K24" s="16">
        <v>44946</v>
      </c>
      <c r="L24" s="17">
        <v>18400000</v>
      </c>
      <c r="M24" s="17">
        <v>18400000</v>
      </c>
      <c r="N24" s="18">
        <f>1533333.33+9200000+4600000</f>
        <v>15333333.33</v>
      </c>
      <c r="O24" s="22" t="s">
        <v>105</v>
      </c>
      <c r="Q24" s="13">
        <v>651</v>
      </c>
      <c r="R24" s="23" t="s">
        <v>63</v>
      </c>
      <c r="S24" s="13" t="s">
        <v>106</v>
      </c>
      <c r="T24" s="13" t="s">
        <v>16</v>
      </c>
      <c r="U24" s="17">
        <f>+M24-N24+M549</f>
        <v>0</v>
      </c>
    </row>
    <row r="25" spans="1:21" x14ac:dyDescent="0.3">
      <c r="A25" s="13">
        <v>300</v>
      </c>
      <c r="B25" s="13" t="str">
        <f>+VLOOKUP(A25,'[1]PA 2023'!$A$8:$E$84,5)</f>
        <v>Mantener el 100% de los programas que desarrolla la Administración Central.</v>
      </c>
      <c r="C25" s="14">
        <v>2020680010025</v>
      </c>
      <c r="D25" s="14" t="str">
        <f>+VLOOKUP(C25,'[1]PA 2023'!$G$8:$H$84,2,FALSE)</f>
        <v>MEJORAMIENTO DE LOS PROCESOS TRANSVERSALES PARA UNA ADMINISTRACIÓN PUBLICA MODERNA Y EFICIENTE EN LA SECRETARÍA DE DESARROLLO SOCIAL DEL MUNICIPIO BUCARAMANGA</v>
      </c>
      <c r="E25" s="13" t="s">
        <v>107</v>
      </c>
      <c r="F25" s="15">
        <v>576</v>
      </c>
      <c r="G25" s="21" t="s">
        <v>35</v>
      </c>
      <c r="H25" s="22" t="s">
        <v>36</v>
      </c>
      <c r="I25" s="13" t="s">
        <v>108</v>
      </c>
      <c r="J25" s="13" t="s">
        <v>38</v>
      </c>
      <c r="K25" s="16">
        <v>44946</v>
      </c>
      <c r="L25" s="17">
        <v>9200000</v>
      </c>
      <c r="M25" s="17">
        <v>9200000</v>
      </c>
      <c r="N25" s="18">
        <f>766666.67+4600000+2300000+1533333.33</f>
        <v>9200000</v>
      </c>
      <c r="O25" s="22" t="s">
        <v>109</v>
      </c>
      <c r="Q25" s="13">
        <v>664</v>
      </c>
      <c r="R25" s="13" t="s">
        <v>40</v>
      </c>
      <c r="S25" s="13" t="s">
        <v>110</v>
      </c>
      <c r="T25" s="13" t="s">
        <v>16</v>
      </c>
      <c r="U25" s="17">
        <f t="shared" ref="U25:U47" si="2">+M25-N25</f>
        <v>0</v>
      </c>
    </row>
    <row r="26" spans="1:21" x14ac:dyDescent="0.3">
      <c r="A26" s="13">
        <v>300</v>
      </c>
      <c r="B26" s="13" t="str">
        <f>+VLOOKUP(A26,'[1]PA 2023'!$A$8:$E$84,5)</f>
        <v>Mantener el 100% de los programas que desarrolla la Administración Central.</v>
      </c>
      <c r="C26" s="14">
        <v>2020680010025</v>
      </c>
      <c r="D26" s="14" t="str">
        <f>+VLOOKUP(C26,'[1]PA 2023'!$G$8:$H$84,2,FALSE)</f>
        <v>MEJORAMIENTO DE LOS PROCESOS TRANSVERSALES PARA UNA ADMINISTRACIÓN PUBLICA MODERNA Y EFICIENTE EN LA SECRETARÍA DE DESARROLLO SOCIAL DEL MUNICIPIO BUCARAMANGA</v>
      </c>
      <c r="E26" s="13" t="s">
        <v>111</v>
      </c>
      <c r="F26" s="15">
        <v>611</v>
      </c>
      <c r="G26" s="21" t="s">
        <v>43</v>
      </c>
      <c r="H26" s="22" t="s">
        <v>36</v>
      </c>
      <c r="I26" s="13" t="s">
        <v>112</v>
      </c>
      <c r="J26" s="13" t="s">
        <v>38</v>
      </c>
      <c r="K26" s="16">
        <v>44950</v>
      </c>
      <c r="L26" s="17">
        <v>12000000</v>
      </c>
      <c r="M26" s="17">
        <v>12000000</v>
      </c>
      <c r="N26" s="18">
        <f>700000+6000000+5300000</f>
        <v>12000000</v>
      </c>
      <c r="O26" s="22" t="s">
        <v>113</v>
      </c>
      <c r="Q26" s="13">
        <v>1207</v>
      </c>
      <c r="R26" s="13" t="s">
        <v>40</v>
      </c>
      <c r="S26" s="13" t="s">
        <v>114</v>
      </c>
      <c r="T26" s="13" t="s">
        <v>16</v>
      </c>
      <c r="U26" s="17">
        <f t="shared" si="2"/>
        <v>0</v>
      </c>
    </row>
    <row r="27" spans="1:21" x14ac:dyDescent="0.3">
      <c r="A27" s="13">
        <v>300</v>
      </c>
      <c r="B27" s="13" t="str">
        <f>+VLOOKUP(A27,'[1]PA 2023'!$A$8:$E$84,5)</f>
        <v>Mantener el 100% de los programas que desarrolla la Administración Central.</v>
      </c>
      <c r="C27" s="14">
        <v>2020680010025</v>
      </c>
      <c r="D27" s="14" t="str">
        <f>+VLOOKUP(C27,'[1]PA 2023'!$G$8:$H$84,2,FALSE)</f>
        <v>MEJORAMIENTO DE LOS PROCESOS TRANSVERSALES PARA UNA ADMINISTRACIÓN PUBLICA MODERNA Y EFICIENTE EN LA SECRETARÍA DE DESARROLLO SOCIAL DEL MUNICIPIO BUCARAMANGA</v>
      </c>
      <c r="E27" s="13" t="s">
        <v>115</v>
      </c>
      <c r="F27" s="15">
        <v>617</v>
      </c>
      <c r="G27" s="21" t="s">
        <v>43</v>
      </c>
      <c r="H27" s="22" t="s">
        <v>36</v>
      </c>
      <c r="I27" s="13" t="s">
        <v>116</v>
      </c>
      <c r="J27" s="13" t="s">
        <v>61</v>
      </c>
      <c r="K27" s="16">
        <v>44950</v>
      </c>
      <c r="L27" s="17">
        <v>14000000</v>
      </c>
      <c r="M27" s="17">
        <v>14000000</v>
      </c>
      <c r="N27" s="18">
        <f>816666.67+7000000+3500000+2683333.33</f>
        <v>14000000</v>
      </c>
      <c r="O27" s="22" t="s">
        <v>117</v>
      </c>
      <c r="Q27" s="13">
        <v>1208</v>
      </c>
      <c r="R27" s="13" t="s">
        <v>63</v>
      </c>
      <c r="S27" s="13" t="s">
        <v>118</v>
      </c>
      <c r="T27" s="13" t="s">
        <v>16</v>
      </c>
      <c r="U27" s="17">
        <f t="shared" si="2"/>
        <v>0</v>
      </c>
    </row>
    <row r="28" spans="1:21" x14ac:dyDescent="0.3">
      <c r="A28" s="13">
        <v>300</v>
      </c>
      <c r="B28" s="13" t="str">
        <f>+VLOOKUP(A28,'[1]PA 2023'!$A$8:$E$84,5)</f>
        <v>Mantener el 100% de los programas que desarrolla la Administración Central.</v>
      </c>
      <c r="C28" s="14">
        <v>2020680010025</v>
      </c>
      <c r="D28" s="14" t="str">
        <f>+VLOOKUP(C28,'[1]PA 2023'!$G$8:$H$84,2,FALSE)</f>
        <v>MEJORAMIENTO DE LOS PROCESOS TRANSVERSALES PARA UNA ADMINISTRACIÓN PUBLICA MODERNA Y EFICIENTE EN LA SECRETARÍA DE DESARROLLO SOCIAL DEL MUNICIPIO BUCARAMANGA</v>
      </c>
      <c r="E28" s="13" t="s">
        <v>119</v>
      </c>
      <c r="F28" s="15">
        <v>631</v>
      </c>
      <c r="G28" s="21" t="s">
        <v>43</v>
      </c>
      <c r="H28" s="22" t="s">
        <v>36</v>
      </c>
      <c r="I28" s="13" t="s">
        <v>120</v>
      </c>
      <c r="J28" s="13" t="s">
        <v>38</v>
      </c>
      <c r="K28" s="16">
        <v>44950</v>
      </c>
      <c r="L28" s="17">
        <v>14000000</v>
      </c>
      <c r="M28" s="17">
        <v>14000000</v>
      </c>
      <c r="N28" s="18">
        <f>7816666.67+3500000+2683333.33</f>
        <v>14000000</v>
      </c>
      <c r="O28" s="22" t="s">
        <v>121</v>
      </c>
      <c r="Q28" s="13">
        <v>1209</v>
      </c>
      <c r="R28" s="13" t="s">
        <v>40</v>
      </c>
      <c r="S28" s="13" t="s">
        <v>122</v>
      </c>
      <c r="T28" s="13" t="s">
        <v>16</v>
      </c>
      <c r="U28" s="17">
        <f t="shared" si="2"/>
        <v>0</v>
      </c>
    </row>
    <row r="29" spans="1:21" x14ac:dyDescent="0.3">
      <c r="A29" s="13">
        <v>300</v>
      </c>
      <c r="B29" s="13" t="str">
        <f>+VLOOKUP(A29,'[1]PA 2023'!$A$8:$E$84,5)</f>
        <v>Mantener el 100% de los programas que desarrolla la Administración Central.</v>
      </c>
      <c r="C29" s="14">
        <v>2020680010025</v>
      </c>
      <c r="D29" s="14" t="str">
        <f>+VLOOKUP(C29,'[1]PA 2023'!$G$8:$H$84,2,FALSE)</f>
        <v>MEJORAMIENTO DE LOS PROCESOS TRANSVERSALES PARA UNA ADMINISTRACIÓN PUBLICA MODERNA Y EFICIENTE EN LA SECRETARÍA DE DESARROLLO SOCIAL DEL MUNICIPIO BUCARAMANGA</v>
      </c>
      <c r="E29" s="13" t="s">
        <v>123</v>
      </c>
      <c r="F29" s="15">
        <v>659</v>
      </c>
      <c r="G29" s="21" t="s">
        <v>43</v>
      </c>
      <c r="H29" s="22" t="s">
        <v>36</v>
      </c>
      <c r="I29" s="13" t="s">
        <v>124</v>
      </c>
      <c r="J29" s="13" t="s">
        <v>38</v>
      </c>
      <c r="K29" s="16">
        <v>44950</v>
      </c>
      <c r="L29" s="17">
        <v>12000000</v>
      </c>
      <c r="M29" s="17">
        <v>12000000</v>
      </c>
      <c r="N29" s="18">
        <f>700000+6000000+5300000</f>
        <v>12000000</v>
      </c>
      <c r="O29" s="22" t="s">
        <v>125</v>
      </c>
      <c r="Q29" s="13">
        <v>1210</v>
      </c>
      <c r="R29" s="13" t="s">
        <v>40</v>
      </c>
      <c r="S29" s="13" t="s">
        <v>126</v>
      </c>
      <c r="T29" s="13" t="s">
        <v>16</v>
      </c>
      <c r="U29" s="17">
        <f t="shared" si="2"/>
        <v>0</v>
      </c>
    </row>
    <row r="30" spans="1:21" x14ac:dyDescent="0.3">
      <c r="A30" s="13">
        <v>300</v>
      </c>
      <c r="B30" s="13" t="str">
        <f>+VLOOKUP(A30,'[1]PA 2023'!$A$8:$E$84,5)</f>
        <v>Mantener el 100% de los programas que desarrolla la Administración Central.</v>
      </c>
      <c r="C30" s="14">
        <v>2020680010025</v>
      </c>
      <c r="D30" s="14" t="str">
        <f>+VLOOKUP(C30,'[1]PA 2023'!$G$8:$H$84,2,FALSE)</f>
        <v>MEJORAMIENTO DE LOS PROCESOS TRANSVERSALES PARA UNA ADMINISTRACIÓN PUBLICA MODERNA Y EFICIENTE EN LA SECRETARÍA DE DESARROLLO SOCIAL DEL MUNICIPIO BUCARAMANGA</v>
      </c>
      <c r="E30" s="13" t="s">
        <v>127</v>
      </c>
      <c r="F30" s="15">
        <v>628</v>
      </c>
      <c r="G30" s="21" t="s">
        <v>43</v>
      </c>
      <c r="H30" s="22" t="s">
        <v>36</v>
      </c>
      <c r="I30" s="13" t="s">
        <v>128</v>
      </c>
      <c r="J30" s="13" t="s">
        <v>38</v>
      </c>
      <c r="K30" s="16">
        <v>44950</v>
      </c>
      <c r="L30" s="17">
        <v>14000000</v>
      </c>
      <c r="M30" s="17">
        <v>14000000</v>
      </c>
      <c r="N30" s="18">
        <f>816666.67+7000000+6183333.33</f>
        <v>14000000</v>
      </c>
      <c r="O30" s="22" t="s">
        <v>129</v>
      </c>
      <c r="Q30" s="13">
        <v>1220</v>
      </c>
      <c r="R30" s="13" t="s">
        <v>40</v>
      </c>
      <c r="S30" s="13" t="s">
        <v>130</v>
      </c>
      <c r="T30" s="13" t="s">
        <v>16</v>
      </c>
      <c r="U30" s="17">
        <f t="shared" si="2"/>
        <v>0</v>
      </c>
    </row>
    <row r="31" spans="1:21" x14ac:dyDescent="0.3">
      <c r="A31" s="13">
        <v>286</v>
      </c>
      <c r="B31" s="13" t="str">
        <f>+VLOOKUP(A31,'[1]PA 2023'!$A$8:$E$84,5)</f>
        <v>Mantener el beneficio al 100% de los ediles con pago de EPS, ARL, póliza de vida y dotación.</v>
      </c>
      <c r="C31" s="14">
        <v>2022680010029</v>
      </c>
      <c r="D31" s="14" t="str">
        <f>+VLOOKUP(C31,'[1]PA 2023'!$G$8:$H$84,2,FALSE)</f>
        <v>FORTALECIMIENTO DE LA PARTICIPACIÓN CIUDADANA EN EL MUNICIPIO DE BUCARAMANGA</v>
      </c>
      <c r="E31" s="13" t="s">
        <v>131</v>
      </c>
      <c r="F31" s="15" t="s">
        <v>22</v>
      </c>
      <c r="G31" s="15" t="s">
        <v>23</v>
      </c>
      <c r="H31" s="15" t="s">
        <v>23</v>
      </c>
      <c r="I31" s="13" t="s">
        <v>132</v>
      </c>
      <c r="J31" s="13" t="s">
        <v>133</v>
      </c>
      <c r="K31" s="16">
        <v>44950</v>
      </c>
      <c r="L31" s="17">
        <v>701500</v>
      </c>
      <c r="M31" s="17">
        <v>701500</v>
      </c>
      <c r="N31" s="18">
        <v>701500</v>
      </c>
      <c r="O31" s="15" t="s">
        <v>23</v>
      </c>
      <c r="Q31" s="13">
        <v>1240</v>
      </c>
      <c r="R31" s="13" t="s">
        <v>134</v>
      </c>
      <c r="S31" s="13" t="s">
        <v>135</v>
      </c>
      <c r="T31" s="13" t="s">
        <v>16</v>
      </c>
      <c r="U31" s="17">
        <f t="shared" si="2"/>
        <v>0</v>
      </c>
    </row>
    <row r="32" spans="1:21" x14ac:dyDescent="0.3">
      <c r="A32" s="13">
        <v>286</v>
      </c>
      <c r="B32" s="13" t="str">
        <f>+VLOOKUP(A32,'[1]PA 2023'!$A$8:$E$84,5)</f>
        <v>Mantener el beneficio al 100% de los ediles con pago de EPS, ARL, póliza de vida y dotación.</v>
      </c>
      <c r="C32" s="14">
        <v>2022680010029</v>
      </c>
      <c r="D32" s="14" t="str">
        <f>+VLOOKUP(C32,'[1]PA 2023'!$G$8:$H$84,2,FALSE)</f>
        <v>FORTALECIMIENTO DE LA PARTICIPACIÓN CIUDADANA EN EL MUNICIPIO DE BUCARAMANGA</v>
      </c>
      <c r="E32" s="13" t="s">
        <v>136</v>
      </c>
      <c r="F32" s="15" t="s">
        <v>22</v>
      </c>
      <c r="G32" s="15" t="s">
        <v>23</v>
      </c>
      <c r="H32" s="15" t="s">
        <v>23</v>
      </c>
      <c r="I32" s="13" t="s">
        <v>137</v>
      </c>
      <c r="J32" s="13" t="s">
        <v>133</v>
      </c>
      <c r="K32" s="16">
        <v>44950</v>
      </c>
      <c r="L32" s="17">
        <v>725000</v>
      </c>
      <c r="M32" s="17">
        <v>725000</v>
      </c>
      <c r="N32" s="18">
        <v>725000</v>
      </c>
      <c r="O32" s="15" t="s">
        <v>23</v>
      </c>
      <c r="Q32" s="13">
        <v>1241</v>
      </c>
      <c r="R32" s="13" t="s">
        <v>134</v>
      </c>
      <c r="S32" s="13" t="s">
        <v>138</v>
      </c>
      <c r="T32" s="13" t="s">
        <v>16</v>
      </c>
      <c r="U32" s="17">
        <f t="shared" si="2"/>
        <v>0</v>
      </c>
    </row>
    <row r="33" spans="1:21" x14ac:dyDescent="0.3">
      <c r="A33" s="13">
        <v>286</v>
      </c>
      <c r="B33" s="13" t="str">
        <f>+VLOOKUP(A33,'[1]PA 2023'!$A$8:$E$84,5)</f>
        <v>Mantener el beneficio al 100% de los ediles con pago de EPS, ARL, póliza de vida y dotación.</v>
      </c>
      <c r="C33" s="14">
        <v>2022680010029</v>
      </c>
      <c r="D33" s="14" t="str">
        <f>+VLOOKUP(C33,'[1]PA 2023'!$G$8:$H$84,2,FALSE)</f>
        <v>FORTALECIMIENTO DE LA PARTICIPACIÓN CIUDADANA EN EL MUNICIPIO DE BUCARAMANGA</v>
      </c>
      <c r="E33" s="13" t="s">
        <v>136</v>
      </c>
      <c r="F33" s="15" t="s">
        <v>22</v>
      </c>
      <c r="G33" s="15" t="s">
        <v>23</v>
      </c>
      <c r="H33" s="15" t="s">
        <v>23</v>
      </c>
      <c r="I33" s="13" t="s">
        <v>139</v>
      </c>
      <c r="J33" s="13" t="s">
        <v>133</v>
      </c>
      <c r="K33" s="16">
        <v>44950</v>
      </c>
      <c r="L33" s="17">
        <v>870000</v>
      </c>
      <c r="M33" s="17">
        <v>870000</v>
      </c>
      <c r="N33" s="18">
        <v>870000</v>
      </c>
      <c r="O33" s="15" t="s">
        <v>23</v>
      </c>
      <c r="Q33" s="13">
        <v>1242</v>
      </c>
      <c r="R33" s="13" t="s">
        <v>134</v>
      </c>
      <c r="S33" s="13" t="s">
        <v>140</v>
      </c>
      <c r="T33" s="13" t="s">
        <v>16</v>
      </c>
      <c r="U33" s="17">
        <f t="shared" si="2"/>
        <v>0</v>
      </c>
    </row>
    <row r="34" spans="1:21" x14ac:dyDescent="0.3">
      <c r="A34" s="13">
        <v>286</v>
      </c>
      <c r="B34" s="13" t="str">
        <f>+VLOOKUP(A34,'[1]PA 2023'!$A$8:$E$84,5)</f>
        <v>Mantener el beneficio al 100% de los ediles con pago de EPS, ARL, póliza de vida y dotación.</v>
      </c>
      <c r="C34" s="14">
        <v>2022680010029</v>
      </c>
      <c r="D34" s="14" t="str">
        <f>+VLOOKUP(C34,'[1]PA 2023'!$G$8:$H$84,2,FALSE)</f>
        <v>FORTALECIMIENTO DE LA PARTICIPACIÓN CIUDADANA EN EL MUNICIPIO DE BUCARAMANGA</v>
      </c>
      <c r="E34" s="13" t="s">
        <v>136</v>
      </c>
      <c r="F34" s="15" t="s">
        <v>22</v>
      </c>
      <c r="G34" s="15" t="s">
        <v>23</v>
      </c>
      <c r="H34" s="15" t="s">
        <v>23</v>
      </c>
      <c r="I34" s="13" t="s">
        <v>139</v>
      </c>
      <c r="J34" s="13" t="s">
        <v>133</v>
      </c>
      <c r="K34" s="16">
        <v>44950</v>
      </c>
      <c r="L34" s="17">
        <v>435000</v>
      </c>
      <c r="M34" s="17">
        <v>435000</v>
      </c>
      <c r="N34" s="18">
        <v>435000</v>
      </c>
      <c r="O34" s="15" t="s">
        <v>23</v>
      </c>
      <c r="Q34" s="13">
        <v>1243</v>
      </c>
      <c r="R34" s="13" t="s">
        <v>134</v>
      </c>
      <c r="S34" s="13" t="s">
        <v>140</v>
      </c>
      <c r="T34" s="13" t="s">
        <v>16</v>
      </c>
      <c r="U34" s="17">
        <f t="shared" si="2"/>
        <v>0</v>
      </c>
    </row>
    <row r="35" spans="1:21" x14ac:dyDescent="0.3">
      <c r="A35" s="13">
        <v>286</v>
      </c>
      <c r="B35" s="13" t="str">
        <f>+VLOOKUP(A35,'[1]PA 2023'!$A$8:$E$84,5)</f>
        <v>Mantener el beneficio al 100% de los ediles con pago de EPS, ARL, póliza de vida y dotación.</v>
      </c>
      <c r="C35" s="14">
        <v>2022680010029</v>
      </c>
      <c r="D35" s="14" t="str">
        <f>+VLOOKUP(C35,'[1]PA 2023'!$G$8:$H$84,2,FALSE)</f>
        <v>FORTALECIMIENTO DE LA PARTICIPACIÓN CIUDADANA EN EL MUNICIPIO DE BUCARAMANGA</v>
      </c>
      <c r="E35" s="13" t="s">
        <v>136</v>
      </c>
      <c r="F35" s="15" t="s">
        <v>22</v>
      </c>
      <c r="G35" s="15" t="s">
        <v>23</v>
      </c>
      <c r="H35" s="15" t="s">
        <v>23</v>
      </c>
      <c r="I35" s="13" t="s">
        <v>141</v>
      </c>
      <c r="J35" s="13" t="s">
        <v>133</v>
      </c>
      <c r="K35" s="16">
        <v>44950</v>
      </c>
      <c r="L35" s="17">
        <v>1740000</v>
      </c>
      <c r="M35" s="17">
        <v>1740000</v>
      </c>
      <c r="N35" s="18">
        <v>1740000</v>
      </c>
      <c r="O35" s="15" t="s">
        <v>23</v>
      </c>
      <c r="Q35" s="13">
        <v>1244</v>
      </c>
      <c r="R35" s="13" t="s">
        <v>134</v>
      </c>
      <c r="S35" s="13" t="s">
        <v>142</v>
      </c>
      <c r="T35" s="13" t="s">
        <v>16</v>
      </c>
      <c r="U35" s="17">
        <f t="shared" si="2"/>
        <v>0</v>
      </c>
    </row>
    <row r="36" spans="1:21" x14ac:dyDescent="0.3">
      <c r="A36" s="13">
        <v>286</v>
      </c>
      <c r="B36" s="13" t="str">
        <f>+VLOOKUP(A36,'[1]PA 2023'!$A$8:$E$84,5)</f>
        <v>Mantener el beneficio al 100% de los ediles con pago de EPS, ARL, póliza de vida y dotación.</v>
      </c>
      <c r="C36" s="14">
        <v>2022680010029</v>
      </c>
      <c r="D36" s="14" t="str">
        <f>+VLOOKUP(C36,'[1]PA 2023'!$G$8:$H$84,2,FALSE)</f>
        <v>FORTALECIMIENTO DE LA PARTICIPACIÓN CIUDADANA EN EL MUNICIPIO DE BUCARAMANGA</v>
      </c>
      <c r="E36" s="13" t="s">
        <v>136</v>
      </c>
      <c r="F36" s="15" t="s">
        <v>22</v>
      </c>
      <c r="G36" s="15" t="s">
        <v>23</v>
      </c>
      <c r="H36" s="15" t="s">
        <v>23</v>
      </c>
      <c r="I36" s="13" t="s">
        <v>143</v>
      </c>
      <c r="J36" s="13" t="s">
        <v>133</v>
      </c>
      <c r="K36" s="16">
        <v>44950</v>
      </c>
      <c r="L36" s="17">
        <v>1015000</v>
      </c>
      <c r="M36" s="17">
        <v>1015000</v>
      </c>
      <c r="N36" s="18">
        <v>1015000</v>
      </c>
      <c r="O36" s="15" t="s">
        <v>23</v>
      </c>
      <c r="Q36" s="13">
        <v>1245</v>
      </c>
      <c r="R36" s="13" t="s">
        <v>134</v>
      </c>
      <c r="S36" s="13" t="s">
        <v>144</v>
      </c>
      <c r="T36" s="13" t="s">
        <v>16</v>
      </c>
      <c r="U36" s="17">
        <f t="shared" si="2"/>
        <v>0</v>
      </c>
    </row>
    <row r="37" spans="1:21" x14ac:dyDescent="0.3">
      <c r="A37" s="13">
        <v>286</v>
      </c>
      <c r="B37" s="13" t="str">
        <f>+VLOOKUP(A37,'[1]PA 2023'!$A$8:$E$84,5)</f>
        <v>Mantener el beneficio al 100% de los ediles con pago de EPS, ARL, póliza de vida y dotación.</v>
      </c>
      <c r="C37" s="14">
        <v>2022680010029</v>
      </c>
      <c r="D37" s="14" t="str">
        <f>+VLOOKUP(C37,'[1]PA 2023'!$G$8:$H$84,2,FALSE)</f>
        <v>FORTALECIMIENTO DE LA PARTICIPACIÓN CIUDADANA EN EL MUNICIPIO DE BUCARAMANGA</v>
      </c>
      <c r="E37" s="13" t="s">
        <v>136</v>
      </c>
      <c r="F37" s="15" t="s">
        <v>22</v>
      </c>
      <c r="G37" s="15" t="s">
        <v>23</v>
      </c>
      <c r="H37" s="15" t="s">
        <v>23</v>
      </c>
      <c r="I37" s="13" t="s">
        <v>145</v>
      </c>
      <c r="J37" s="13" t="s">
        <v>133</v>
      </c>
      <c r="K37" s="16">
        <v>44950</v>
      </c>
      <c r="L37" s="17">
        <v>580000</v>
      </c>
      <c r="M37" s="17">
        <v>580000</v>
      </c>
      <c r="N37" s="18">
        <v>580000</v>
      </c>
      <c r="O37" s="15" t="s">
        <v>23</v>
      </c>
      <c r="Q37" s="13">
        <v>1246</v>
      </c>
      <c r="R37" s="13" t="s">
        <v>134</v>
      </c>
      <c r="S37" s="13" t="s">
        <v>146</v>
      </c>
      <c r="T37" s="13" t="s">
        <v>16</v>
      </c>
      <c r="U37" s="17">
        <f t="shared" si="2"/>
        <v>0</v>
      </c>
    </row>
    <row r="38" spans="1:21" x14ac:dyDescent="0.3">
      <c r="A38" s="13">
        <v>286</v>
      </c>
      <c r="B38" s="13" t="str">
        <f>+VLOOKUP(A38,'[1]PA 2023'!$A$8:$E$84,5)</f>
        <v>Mantener el beneficio al 100% de los ediles con pago de EPS, ARL, póliza de vida y dotación.</v>
      </c>
      <c r="C38" s="14">
        <v>2022680010029</v>
      </c>
      <c r="D38" s="14" t="str">
        <f>+VLOOKUP(C38,'[1]PA 2023'!$G$8:$H$84,2,FALSE)</f>
        <v>FORTALECIMIENTO DE LA PARTICIPACIÓN CIUDADANA EN EL MUNICIPIO DE BUCARAMANGA</v>
      </c>
      <c r="E38" s="13" t="s">
        <v>136</v>
      </c>
      <c r="F38" s="15" t="s">
        <v>22</v>
      </c>
      <c r="G38" s="15" t="s">
        <v>23</v>
      </c>
      <c r="H38" s="15" t="s">
        <v>23</v>
      </c>
      <c r="I38" s="13" t="s">
        <v>147</v>
      </c>
      <c r="J38" s="13" t="s">
        <v>133</v>
      </c>
      <c r="K38" s="16">
        <v>44950</v>
      </c>
      <c r="L38" s="17">
        <v>4495000</v>
      </c>
      <c r="M38" s="17">
        <v>4495000</v>
      </c>
      <c r="N38" s="18">
        <v>4495000</v>
      </c>
      <c r="O38" s="15" t="s">
        <v>23</v>
      </c>
      <c r="Q38" s="13">
        <v>1247</v>
      </c>
      <c r="R38" s="13" t="s">
        <v>134</v>
      </c>
      <c r="S38" s="13" t="s">
        <v>148</v>
      </c>
      <c r="T38" s="13" t="s">
        <v>16</v>
      </c>
      <c r="U38" s="17">
        <f t="shared" si="2"/>
        <v>0</v>
      </c>
    </row>
    <row r="39" spans="1:21" x14ac:dyDescent="0.3">
      <c r="A39" s="13">
        <v>286</v>
      </c>
      <c r="B39" s="13" t="str">
        <f>+VLOOKUP(A39,'[1]PA 2023'!$A$8:$E$84,5)</f>
        <v>Mantener el beneficio al 100% de los ediles con pago de EPS, ARL, póliza de vida y dotación.</v>
      </c>
      <c r="C39" s="14">
        <v>2022680010029</v>
      </c>
      <c r="D39" s="14" t="str">
        <f>+VLOOKUP(C39,'[1]PA 2023'!$G$8:$H$84,2,FALSE)</f>
        <v>FORTALECIMIENTO DE LA PARTICIPACIÓN CIUDADANA EN EL MUNICIPIO DE BUCARAMANGA</v>
      </c>
      <c r="E39" s="13" t="s">
        <v>136</v>
      </c>
      <c r="F39" s="15" t="s">
        <v>22</v>
      </c>
      <c r="G39" s="15" t="s">
        <v>23</v>
      </c>
      <c r="H39" s="15" t="s">
        <v>23</v>
      </c>
      <c r="I39" s="13" t="s">
        <v>147</v>
      </c>
      <c r="J39" s="13" t="s">
        <v>133</v>
      </c>
      <c r="K39" s="16">
        <v>44950</v>
      </c>
      <c r="L39" s="17">
        <v>145000</v>
      </c>
      <c r="M39" s="17">
        <v>145000</v>
      </c>
      <c r="N39" s="18">
        <v>145000</v>
      </c>
      <c r="O39" s="15" t="s">
        <v>23</v>
      </c>
      <c r="Q39" s="13">
        <v>1248</v>
      </c>
      <c r="R39" s="13" t="s">
        <v>134</v>
      </c>
      <c r="S39" s="13" t="s">
        <v>148</v>
      </c>
      <c r="T39" s="13" t="s">
        <v>16</v>
      </c>
      <c r="U39" s="17">
        <f t="shared" si="2"/>
        <v>0</v>
      </c>
    </row>
    <row r="40" spans="1:21" x14ac:dyDescent="0.3">
      <c r="A40" s="13">
        <v>286</v>
      </c>
      <c r="B40" s="13" t="str">
        <f>+VLOOKUP(A40,'[1]PA 2023'!$A$8:$E$84,5)</f>
        <v>Mantener el beneficio al 100% de los ediles con pago de EPS, ARL, póliza de vida y dotación.</v>
      </c>
      <c r="C40" s="14">
        <v>2022680010029</v>
      </c>
      <c r="D40" s="14" t="str">
        <f>+VLOOKUP(C40,'[1]PA 2023'!$G$8:$H$84,2,FALSE)</f>
        <v>FORTALECIMIENTO DE LA PARTICIPACIÓN CIUDADANA EN EL MUNICIPIO DE BUCARAMANGA</v>
      </c>
      <c r="E40" s="13" t="s">
        <v>136</v>
      </c>
      <c r="F40" s="15" t="s">
        <v>22</v>
      </c>
      <c r="G40" s="15" t="s">
        <v>23</v>
      </c>
      <c r="H40" s="15" t="s">
        <v>23</v>
      </c>
      <c r="I40" s="13" t="s">
        <v>149</v>
      </c>
      <c r="J40" s="13" t="s">
        <v>133</v>
      </c>
      <c r="K40" s="16">
        <v>44950</v>
      </c>
      <c r="L40" s="17">
        <v>870000</v>
      </c>
      <c r="M40" s="17">
        <v>870000</v>
      </c>
      <c r="N40" s="18">
        <v>870000</v>
      </c>
      <c r="O40" s="15" t="s">
        <v>23</v>
      </c>
      <c r="Q40" s="13">
        <v>1249</v>
      </c>
      <c r="R40" s="13" t="s">
        <v>134</v>
      </c>
      <c r="S40" s="13" t="s">
        <v>150</v>
      </c>
      <c r="T40" s="13" t="s">
        <v>16</v>
      </c>
      <c r="U40" s="17">
        <f t="shared" si="2"/>
        <v>0</v>
      </c>
    </row>
    <row r="41" spans="1:21" x14ac:dyDescent="0.3">
      <c r="A41" s="13">
        <v>286</v>
      </c>
      <c r="B41" s="13" t="str">
        <f>+VLOOKUP(A41,'[1]PA 2023'!$A$8:$E$84,5)</f>
        <v>Mantener el beneficio al 100% de los ediles con pago de EPS, ARL, póliza de vida y dotación.</v>
      </c>
      <c r="C41" s="14">
        <v>2022680010029</v>
      </c>
      <c r="D41" s="14" t="str">
        <f>+VLOOKUP(C41,'[1]PA 2023'!$G$8:$H$84,2,FALSE)</f>
        <v>FORTALECIMIENTO DE LA PARTICIPACIÓN CIUDADANA EN EL MUNICIPIO DE BUCARAMANGA</v>
      </c>
      <c r="E41" s="13" t="s">
        <v>136</v>
      </c>
      <c r="F41" s="15" t="s">
        <v>22</v>
      </c>
      <c r="G41" s="15" t="s">
        <v>23</v>
      </c>
      <c r="H41" s="15" t="s">
        <v>23</v>
      </c>
      <c r="I41" s="13" t="s">
        <v>151</v>
      </c>
      <c r="J41" s="13" t="s">
        <v>133</v>
      </c>
      <c r="K41" s="16">
        <v>44950</v>
      </c>
      <c r="L41" s="17">
        <v>3335000</v>
      </c>
      <c r="M41" s="17">
        <v>3335000</v>
      </c>
      <c r="N41" s="18">
        <v>3335000</v>
      </c>
      <c r="O41" s="15" t="s">
        <v>23</v>
      </c>
      <c r="Q41" s="13">
        <v>1250</v>
      </c>
      <c r="R41" s="13" t="s">
        <v>134</v>
      </c>
      <c r="S41" s="13" t="s">
        <v>152</v>
      </c>
      <c r="T41" s="13" t="s">
        <v>16</v>
      </c>
      <c r="U41" s="17">
        <f t="shared" si="2"/>
        <v>0</v>
      </c>
    </row>
    <row r="42" spans="1:21" x14ac:dyDescent="0.3">
      <c r="A42" s="13">
        <v>286</v>
      </c>
      <c r="B42" s="13" t="str">
        <f>+VLOOKUP(A42,'[1]PA 2023'!$A$8:$E$84,5)</f>
        <v>Mantener el beneficio al 100% de los ediles con pago de EPS, ARL, póliza de vida y dotación.</v>
      </c>
      <c r="C42" s="14">
        <v>2022680010029</v>
      </c>
      <c r="D42" s="14" t="str">
        <f>+VLOOKUP(C42,'[1]PA 2023'!$G$8:$H$84,2,FALSE)</f>
        <v>FORTALECIMIENTO DE LA PARTICIPACIÓN CIUDADANA EN EL MUNICIPIO DE BUCARAMANGA</v>
      </c>
      <c r="E42" s="13" t="s">
        <v>136</v>
      </c>
      <c r="F42" s="15" t="s">
        <v>22</v>
      </c>
      <c r="G42" s="15" t="s">
        <v>23</v>
      </c>
      <c r="H42" s="15" t="s">
        <v>23</v>
      </c>
      <c r="I42" s="13" t="s">
        <v>153</v>
      </c>
      <c r="J42" s="13" t="s">
        <v>133</v>
      </c>
      <c r="K42" s="16">
        <v>44950</v>
      </c>
      <c r="L42" s="17">
        <v>2465000</v>
      </c>
      <c r="M42" s="17">
        <v>2465000</v>
      </c>
      <c r="N42" s="18">
        <v>2465000</v>
      </c>
      <c r="O42" s="15" t="s">
        <v>23</v>
      </c>
      <c r="Q42" s="13">
        <v>1251</v>
      </c>
      <c r="R42" s="13" t="s">
        <v>134</v>
      </c>
      <c r="S42" s="13" t="s">
        <v>154</v>
      </c>
      <c r="T42" s="13" t="s">
        <v>16</v>
      </c>
      <c r="U42" s="17">
        <f t="shared" si="2"/>
        <v>0</v>
      </c>
    </row>
    <row r="43" spans="1:21" x14ac:dyDescent="0.3">
      <c r="A43" s="13">
        <v>114</v>
      </c>
      <c r="B43" s="13" t="str">
        <f>+VLOOKUP(A43,'[1]PA 2023'!$A$8:$E$84,5)</f>
        <v>Mantener el servicio exequial al 100% de los habitantes de calle fallecidos registrados dentro del censo municipal.</v>
      </c>
      <c r="C43" s="14">
        <v>2020680010050</v>
      </c>
      <c r="D43" s="14" t="str">
        <f>+VLOOKUP(C43,'[1]PA 2023'!$G$8:$H$84,2,FALSE)</f>
        <v>DESARROLLO DE ACCIONES ENCAMINADAS A GENERAR ATENCIÓN INTEGRAL HACIA LA POBLACIÓN HABITANTES EN SITUACIÓN DE CALLE DEL MUNICIPIO DE BUCARAMANGA</v>
      </c>
      <c r="E43" s="13" t="s">
        <v>155</v>
      </c>
      <c r="F43" s="15">
        <v>52</v>
      </c>
      <c r="G43" s="21" t="s">
        <v>156</v>
      </c>
      <c r="H43" s="21" t="s">
        <v>157</v>
      </c>
      <c r="I43" s="13" t="s">
        <v>158</v>
      </c>
      <c r="J43" s="13" t="s">
        <v>159</v>
      </c>
      <c r="K43" s="16">
        <v>44951</v>
      </c>
      <c r="L43" s="17">
        <v>7818201</v>
      </c>
      <c r="M43" s="17">
        <v>7818201</v>
      </c>
      <c r="N43" s="18">
        <v>7818201</v>
      </c>
      <c r="O43" s="22" t="s">
        <v>160</v>
      </c>
      <c r="Q43" s="13">
        <v>1291</v>
      </c>
      <c r="R43" s="23" t="s">
        <v>161</v>
      </c>
      <c r="S43" s="13" t="s">
        <v>162</v>
      </c>
      <c r="T43" s="13" t="s">
        <v>16</v>
      </c>
      <c r="U43" s="17">
        <f t="shared" si="2"/>
        <v>0</v>
      </c>
    </row>
    <row r="44" spans="1:21" x14ac:dyDescent="0.3">
      <c r="A44" s="13">
        <v>82</v>
      </c>
      <c r="B44" s="13" t="str">
        <f>+VLOOKUP(A44,'[1]PA 2023'!$A$8:$E$84,5)</f>
        <v xml:space="preserve">Mantener el servicio exequial al 100% de los niños, niñas y adolescentes en extrema vulnerabilidad que fallezcan y que sus familias así lo requieran. </v>
      </c>
      <c r="C44" s="14">
        <v>2021680010003</v>
      </c>
      <c r="D44" s="14" t="str">
        <f>+VLOOKUP(C44,'[1]PA 2023'!$G$8:$H$84,2,FALSE)</f>
        <v>IMPLEMENTACIÓN DE ESTRATEGIAS PSICOPEDAGÓGICAS PARA LA DISMINUCIÓN DE FACTORES DE RIESGO EN NIÑOS, NIÑAS Y ADOLESCENTES EN EL MUNICIPIO DE BUCARAMANGA</v>
      </c>
      <c r="E44" s="13" t="s">
        <v>155</v>
      </c>
      <c r="F44" s="15">
        <v>52</v>
      </c>
      <c r="G44" s="21" t="s">
        <v>156</v>
      </c>
      <c r="H44" s="21" t="s">
        <v>157</v>
      </c>
      <c r="I44" s="13" t="s">
        <v>158</v>
      </c>
      <c r="J44" s="13" t="s">
        <v>163</v>
      </c>
      <c r="K44" s="16">
        <v>44951</v>
      </c>
      <c r="L44" s="17">
        <v>6735034</v>
      </c>
      <c r="M44" s="17">
        <v>6735034</v>
      </c>
      <c r="N44" s="18">
        <v>6735034</v>
      </c>
      <c r="O44" s="22" t="s">
        <v>160</v>
      </c>
      <c r="Q44" s="13">
        <v>1291</v>
      </c>
      <c r="R44" s="23" t="s">
        <v>164</v>
      </c>
      <c r="S44" s="13" t="s">
        <v>162</v>
      </c>
      <c r="T44" s="13" t="s">
        <v>16</v>
      </c>
      <c r="U44" s="17">
        <f t="shared" si="2"/>
        <v>0</v>
      </c>
    </row>
    <row r="45" spans="1:21" x14ac:dyDescent="0.3">
      <c r="A45" s="13">
        <v>91</v>
      </c>
      <c r="B45" s="13" t="str">
        <f>+VLOOKUP(A45,'[1]PA 2023'!$A$8:$E$84,5)</f>
        <v>Mantener el servicio exequial al 100% de las personas mayores fallecidas en condición de pobreza, vulnerabilidad y sin red familiar de apoyo.</v>
      </c>
      <c r="C45" s="14">
        <v>2020680010040</v>
      </c>
      <c r="D45" s="14" t="str">
        <f>+VLOOKUP(C45,'[1]PA 2023'!$G$8:$H$84,2,FALSE)</f>
        <v>IMPLEMENTACIÓN DE ACCIONES TENDIENTES A MEJORAR LAS CONDICIONES DE LOS ADULTOS MAYORES DEL MUNICIPIO DE BUCARAMANGA</v>
      </c>
      <c r="E45" s="13" t="s">
        <v>155</v>
      </c>
      <c r="F45" s="15">
        <v>52</v>
      </c>
      <c r="G45" s="21" t="s">
        <v>156</v>
      </c>
      <c r="H45" s="21" t="s">
        <v>157</v>
      </c>
      <c r="I45" s="13" t="s">
        <v>158</v>
      </c>
      <c r="J45" s="13" t="s">
        <v>165</v>
      </c>
      <c r="K45" s="16">
        <v>44951</v>
      </c>
      <c r="L45" s="17">
        <v>13030335</v>
      </c>
      <c r="M45" s="17">
        <v>13030335</v>
      </c>
      <c r="N45" s="18">
        <v>13030335</v>
      </c>
      <c r="O45" s="22" t="s">
        <v>160</v>
      </c>
      <c r="Q45" s="13">
        <v>1291</v>
      </c>
      <c r="R45" s="23" t="s">
        <v>26</v>
      </c>
      <c r="S45" s="13" t="s">
        <v>162</v>
      </c>
      <c r="T45" s="13" t="s">
        <v>16</v>
      </c>
      <c r="U45" s="17">
        <f t="shared" si="2"/>
        <v>0</v>
      </c>
    </row>
    <row r="46" spans="1:21" x14ac:dyDescent="0.3">
      <c r="A46" s="13">
        <v>68</v>
      </c>
      <c r="B46" s="13" t="str">
        <f>+VLOOKUP(A46,'[1]PA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46" s="14">
        <v>2022680010056</v>
      </c>
      <c r="D46" s="14" t="str">
        <f>+VLOOKUP(C46,'[1]PA 2023'!$G$8:$H$84,2,FALSE)</f>
        <v>APOYO EN LOS PROCESOS DE ATENCIÓN INTEGRAL DE LOS NIÑOS Y NIÑAS EN EL ESPACIO DE CUIDADO Y ALBERGUE "CASA BÚHO" EN EL MUNICIPIO DE BUCARAMANGA</v>
      </c>
      <c r="E46" s="13" t="s">
        <v>166</v>
      </c>
      <c r="F46" s="15">
        <v>685</v>
      </c>
      <c r="G46" s="21" t="s">
        <v>43</v>
      </c>
      <c r="H46" s="22" t="s">
        <v>36</v>
      </c>
      <c r="I46" s="13" t="s">
        <v>167</v>
      </c>
      <c r="J46" s="13" t="s">
        <v>168</v>
      </c>
      <c r="K46" s="16">
        <v>44951</v>
      </c>
      <c r="L46" s="17">
        <v>20000000</v>
      </c>
      <c r="M46" s="17">
        <v>20000000</v>
      </c>
      <c r="N46" s="18">
        <f>11000000+5000000+4000000</f>
        <v>20000000</v>
      </c>
      <c r="O46" s="22" t="s">
        <v>169</v>
      </c>
      <c r="Q46" s="13">
        <v>1292</v>
      </c>
      <c r="R46" s="13" t="s">
        <v>170</v>
      </c>
      <c r="S46" s="13" t="s">
        <v>171</v>
      </c>
      <c r="T46" s="13" t="s">
        <v>16</v>
      </c>
      <c r="U46" s="17">
        <f t="shared" si="2"/>
        <v>0</v>
      </c>
    </row>
    <row r="47" spans="1:21" x14ac:dyDescent="0.3">
      <c r="A47" s="13">
        <v>300</v>
      </c>
      <c r="B47" s="13" t="str">
        <f>+VLOOKUP(A47,'[1]PA 2023'!$A$8:$E$84,5)</f>
        <v>Mantener el 100% de los programas que desarrolla la Administración Central.</v>
      </c>
      <c r="C47" s="14">
        <v>2020680010025</v>
      </c>
      <c r="D47" s="14" t="str">
        <f>+VLOOKUP(C47,'[1]PA 2023'!$G$8:$H$84,2,FALSE)</f>
        <v>MEJORAMIENTO DE LOS PROCESOS TRANSVERSALES PARA UNA ADMINISTRACIÓN PUBLICA MODERNA Y EFICIENTE EN LA SECRETARÍA DE DESARROLLO SOCIAL DEL MUNICIPIO BUCARAMANGA</v>
      </c>
      <c r="E47" s="13" t="s">
        <v>172</v>
      </c>
      <c r="F47" s="15">
        <v>739</v>
      </c>
      <c r="G47" s="21" t="s">
        <v>43</v>
      </c>
      <c r="H47" s="22" t="s">
        <v>36</v>
      </c>
      <c r="I47" s="13" t="s">
        <v>173</v>
      </c>
      <c r="J47" s="13" t="s">
        <v>38</v>
      </c>
      <c r="K47" s="16">
        <v>44952</v>
      </c>
      <c r="L47" s="17">
        <v>20000000</v>
      </c>
      <c r="M47" s="17">
        <v>20000000</v>
      </c>
      <c r="N47" s="18">
        <f>666666.67+10000000+9333333.33</f>
        <v>20000000</v>
      </c>
      <c r="O47" s="22" t="s">
        <v>174</v>
      </c>
      <c r="Q47" s="13">
        <v>1370</v>
      </c>
      <c r="R47" s="13" t="s">
        <v>40</v>
      </c>
      <c r="S47" s="13" t="s">
        <v>175</v>
      </c>
      <c r="T47" s="13" t="s">
        <v>16</v>
      </c>
      <c r="U47" s="17">
        <f t="shared" si="2"/>
        <v>0</v>
      </c>
    </row>
    <row r="48" spans="1:21" x14ac:dyDescent="0.3">
      <c r="A48" s="13">
        <v>112</v>
      </c>
      <c r="B48" s="13" t="str">
        <f>+VLOOKUP(A48,'[1]PA 2023'!$A$8:$E$84,5)</f>
        <v>Mantener a 284 habitantes de calle con atención integral en la cual se incluya la prestación de servicios básicos.</v>
      </c>
      <c r="C48" s="14">
        <v>2020680010050</v>
      </c>
      <c r="D48" s="14" t="str">
        <f>+VLOOKUP(C48,'[1]PA 2023'!$G$8:$H$84,2,FALSE)</f>
        <v>DESARROLLO DE ACCIONES ENCAMINADAS A GENERAR ATENCIÓN INTEGRAL HACIA LA POBLACIÓN HABITANTES EN SITUACIÓN DE CALLE DEL MUNICIPIO DE BUCARAMANGA</v>
      </c>
      <c r="E48" s="13" t="s">
        <v>176</v>
      </c>
      <c r="F48" s="15">
        <v>92</v>
      </c>
      <c r="G48" s="24" t="s">
        <v>177</v>
      </c>
      <c r="H48" s="24" t="s">
        <v>178</v>
      </c>
      <c r="I48" s="13" t="s">
        <v>179</v>
      </c>
      <c r="J48" s="13" t="s">
        <v>180</v>
      </c>
      <c r="K48" s="16">
        <v>44952</v>
      </c>
      <c r="L48" s="17">
        <v>59108000</v>
      </c>
      <c r="M48" s="17">
        <v>59108000</v>
      </c>
      <c r="N48" s="18">
        <f>40798012+14177000</f>
        <v>54975012</v>
      </c>
      <c r="O48" s="22" t="s">
        <v>181</v>
      </c>
      <c r="Q48" s="13">
        <v>1375</v>
      </c>
      <c r="R48" s="23" t="s">
        <v>161</v>
      </c>
      <c r="S48" s="13" t="s">
        <v>182</v>
      </c>
      <c r="T48" s="13" t="s">
        <v>16</v>
      </c>
      <c r="U48" s="17">
        <f>+M48-N48+M354</f>
        <v>0</v>
      </c>
    </row>
    <row r="49" spans="1:21" x14ac:dyDescent="0.3">
      <c r="A49" s="13">
        <v>112</v>
      </c>
      <c r="B49" s="13" t="str">
        <f>+VLOOKUP(A49,'[1]PA 2023'!$A$8:$E$84,5)</f>
        <v>Mantener a 284 habitantes de calle con atención integral en la cual se incluya la prestación de servicios básicos.</v>
      </c>
      <c r="C49" s="14">
        <v>2020680010050</v>
      </c>
      <c r="D49" s="14" t="str">
        <f>+VLOOKUP(C49,'[1]PA 2023'!$G$8:$H$84,2,FALSE)</f>
        <v>DESARROLLO DE ACCIONES ENCAMINADAS A GENERAR ATENCIÓN INTEGRAL HACIA LA POBLACIÓN HABITANTES EN SITUACIÓN DE CALLE DEL MUNICIPIO DE BUCARAMANGA</v>
      </c>
      <c r="E49" s="13" t="s">
        <v>183</v>
      </c>
      <c r="F49" s="15">
        <v>119</v>
      </c>
      <c r="G49" s="22" t="s">
        <v>184</v>
      </c>
      <c r="H49" s="21" t="s">
        <v>185</v>
      </c>
      <c r="I49" s="13" t="s">
        <v>186</v>
      </c>
      <c r="J49" s="13" t="s">
        <v>180</v>
      </c>
      <c r="K49" s="16">
        <v>44952</v>
      </c>
      <c r="L49" s="17">
        <v>52890649</v>
      </c>
      <c r="M49" s="17">
        <v>52890649</v>
      </c>
      <c r="N49" s="18">
        <f>22289610+20476218+8437310</f>
        <v>51203138</v>
      </c>
      <c r="O49" s="22" t="s">
        <v>187</v>
      </c>
      <c r="Q49" s="13">
        <v>1376</v>
      </c>
      <c r="R49" s="23" t="s">
        <v>161</v>
      </c>
      <c r="S49" s="13" t="s">
        <v>188</v>
      </c>
      <c r="T49" s="13" t="s">
        <v>16</v>
      </c>
      <c r="U49" s="17">
        <f>+M49-N49+M587</f>
        <v>0</v>
      </c>
    </row>
    <row r="50" spans="1:21" x14ac:dyDescent="0.3">
      <c r="A50" s="13">
        <v>115</v>
      </c>
      <c r="B50" s="13" t="str">
        <f>+VLOOKUP(A50,'[1]PA 2023'!$A$8:$E$84,5)</f>
        <v>Garantizar y mantener la atención integral en procesos de habilitación y rehabilitación a 250 niñas, niños y adolescentes con discapacidad del sector urbano y rural en extrema vulnerabilidad.</v>
      </c>
      <c r="C50" s="14">
        <v>2020680010121</v>
      </c>
      <c r="D50" s="14" t="str">
        <f>+VLOOKUP(C50,'[1]PA 2023'!$G$8:$H$84,2,FALSE)</f>
        <v>APOYO A LA OPERATIVIDAD DE LOS PROGRAMAS DE ATENCIÓN INTEGRAL A LAS PERSONAS CON DISCAPACIDAD. FAMILIARES Y/O CUIDADORES DEL MUNICIPIO DE BUCARAMANGA</v>
      </c>
      <c r="E50" s="13" t="s">
        <v>189</v>
      </c>
      <c r="F50" s="15">
        <v>116</v>
      </c>
      <c r="G50" s="22" t="s">
        <v>177</v>
      </c>
      <c r="H50" s="22" t="s">
        <v>178</v>
      </c>
      <c r="I50" s="13" t="s">
        <v>190</v>
      </c>
      <c r="J50" s="13" t="s">
        <v>191</v>
      </c>
      <c r="K50" s="16">
        <v>44952</v>
      </c>
      <c r="L50" s="17">
        <v>97519982</v>
      </c>
      <c r="M50" s="17">
        <v>97519982</v>
      </c>
      <c r="N50" s="18">
        <f>47742229.23+48759970</f>
        <v>96502199.229999989</v>
      </c>
      <c r="O50" s="22" t="s">
        <v>192</v>
      </c>
      <c r="Q50" s="13">
        <v>1377</v>
      </c>
      <c r="R50" s="23" t="s">
        <v>193</v>
      </c>
      <c r="S50" s="13" t="s">
        <v>194</v>
      </c>
      <c r="T50" s="13" t="s">
        <v>16</v>
      </c>
      <c r="U50" s="17">
        <f>+M50-N50+$M$454</f>
        <v>1.0710209608078003E-8</v>
      </c>
    </row>
    <row r="51" spans="1:21" x14ac:dyDescent="0.3">
      <c r="A51" s="13">
        <v>300</v>
      </c>
      <c r="B51" s="13" t="str">
        <f>+VLOOKUP(A51,'[1]PA 2023'!$A$8:$E$84,5)</f>
        <v>Mantener el 100% de los programas que desarrolla la Administración Central.</v>
      </c>
      <c r="C51" s="14">
        <v>2020680010025</v>
      </c>
      <c r="D51" s="14" t="str">
        <f>+VLOOKUP(C51,'[1]PA 2023'!$G$8:$H$84,2,FALSE)</f>
        <v>MEJORAMIENTO DE LOS PROCESOS TRANSVERSALES PARA UNA ADMINISTRACIÓN PUBLICA MODERNA Y EFICIENTE EN LA SECRETARÍA DE DESARROLLO SOCIAL DEL MUNICIPIO BUCARAMANGA</v>
      </c>
      <c r="E51" s="13" t="s">
        <v>195</v>
      </c>
      <c r="F51" s="15">
        <v>750</v>
      </c>
      <c r="G51" s="21" t="s">
        <v>43</v>
      </c>
      <c r="H51" s="22" t="s">
        <v>36</v>
      </c>
      <c r="I51" s="13" t="s">
        <v>196</v>
      </c>
      <c r="J51" s="13" t="s">
        <v>38</v>
      </c>
      <c r="K51" s="16">
        <v>44953</v>
      </c>
      <c r="L51" s="17">
        <v>22000000</v>
      </c>
      <c r="M51" s="17">
        <v>22000000</v>
      </c>
      <c r="N51" s="18">
        <f>11733333.33+5500000+4766666.67</f>
        <v>22000000</v>
      </c>
      <c r="O51" s="22" t="s">
        <v>197</v>
      </c>
      <c r="Q51" s="13">
        <v>1391</v>
      </c>
      <c r="R51" s="13" t="s">
        <v>40</v>
      </c>
      <c r="S51" s="13" t="s">
        <v>198</v>
      </c>
      <c r="T51" s="13" t="s">
        <v>16</v>
      </c>
      <c r="U51" s="17">
        <f>+M51-N51</f>
        <v>0</v>
      </c>
    </row>
    <row r="52" spans="1:21" x14ac:dyDescent="0.3">
      <c r="A52" s="13">
        <v>115</v>
      </c>
      <c r="B52" s="13" t="str">
        <f>+VLOOKUP(A52,'[1]PA 2023'!$A$8:$E$84,5)</f>
        <v>Garantizar y mantener la atención integral en procesos de habilitación y rehabilitación a 250 niñas, niños y adolescentes con discapacidad del sector urbano y rural en extrema vulnerabilidad.</v>
      </c>
      <c r="C52" s="14">
        <v>2020680010121</v>
      </c>
      <c r="D52" s="14" t="str">
        <f>+VLOOKUP(C52,'[1]PA 2023'!$G$8:$H$84,2,FALSE)</f>
        <v>APOYO A LA OPERATIVIDAD DE LOS PROGRAMAS DE ATENCIÓN INTEGRAL A LAS PERSONAS CON DISCAPACIDAD. FAMILIARES Y/O CUIDADORES DEL MUNICIPIO DE BUCARAMANGA</v>
      </c>
      <c r="E52" s="13" t="s">
        <v>199</v>
      </c>
      <c r="F52" s="15">
        <v>108</v>
      </c>
      <c r="G52" s="24" t="s">
        <v>177</v>
      </c>
      <c r="H52" s="24" t="s">
        <v>178</v>
      </c>
      <c r="I52" s="13" t="s">
        <v>190</v>
      </c>
      <c r="J52" s="13" t="s">
        <v>191</v>
      </c>
      <c r="K52" s="16">
        <v>44953</v>
      </c>
      <c r="L52" s="17">
        <v>53000000</v>
      </c>
      <c r="M52" s="17">
        <v>53000000</v>
      </c>
      <c r="N52" s="18">
        <f>25970000+26500000</f>
        <v>52470000</v>
      </c>
      <c r="O52" s="22" t="s">
        <v>200</v>
      </c>
      <c r="Q52" s="13">
        <v>1430</v>
      </c>
      <c r="R52" s="23" t="s">
        <v>193</v>
      </c>
      <c r="S52" s="13" t="s">
        <v>194</v>
      </c>
      <c r="T52" s="13" t="s">
        <v>16</v>
      </c>
      <c r="U52" s="17">
        <f>+M52-N52+M455</f>
        <v>0</v>
      </c>
    </row>
    <row r="53" spans="1:21" x14ac:dyDescent="0.3">
      <c r="A53" s="13">
        <v>115</v>
      </c>
      <c r="B53" s="13" t="str">
        <f>+VLOOKUP(A53,'[1]PA 2023'!$A$8:$E$84,5)</f>
        <v>Garantizar y mantener la atención integral en procesos de habilitación y rehabilitación a 250 niñas, niños y adolescentes con discapacidad del sector urbano y rural en extrema vulnerabilidad.</v>
      </c>
      <c r="C53" s="14">
        <v>2020680010121</v>
      </c>
      <c r="D53" s="14" t="str">
        <f>+VLOOKUP(C53,'[1]PA 2023'!$G$8:$H$84,2,FALSE)</f>
        <v>APOYO A LA OPERATIVIDAD DE LOS PROGRAMAS DE ATENCIÓN INTEGRAL A LAS PERSONAS CON DISCAPACIDAD. FAMILIARES Y/O CUIDADORES DEL MUNICIPIO DE BUCARAMANGA</v>
      </c>
      <c r="E53" s="13" t="s">
        <v>201</v>
      </c>
      <c r="F53" s="15">
        <v>107</v>
      </c>
      <c r="G53" s="24" t="s">
        <v>177</v>
      </c>
      <c r="H53" s="24" t="s">
        <v>178</v>
      </c>
      <c r="I53" s="13" t="s">
        <v>202</v>
      </c>
      <c r="J53" s="13" t="s">
        <v>191</v>
      </c>
      <c r="K53" s="16">
        <v>44953</v>
      </c>
      <c r="L53" s="17">
        <v>53000010</v>
      </c>
      <c r="M53" s="17">
        <v>53000010</v>
      </c>
      <c r="N53" s="18">
        <f>26500005+26500005</f>
        <v>53000010</v>
      </c>
      <c r="O53" s="22" t="s">
        <v>203</v>
      </c>
      <c r="Q53" s="13">
        <v>1431</v>
      </c>
      <c r="R53" s="13" t="s">
        <v>193</v>
      </c>
      <c r="S53" s="13" t="s">
        <v>204</v>
      </c>
      <c r="T53" s="13" t="s">
        <v>16</v>
      </c>
      <c r="U53" s="17">
        <f>+M53-N53</f>
        <v>0</v>
      </c>
    </row>
    <row r="54" spans="1:21" x14ac:dyDescent="0.3">
      <c r="A54" s="13">
        <v>117</v>
      </c>
      <c r="B54" s="13" t="str">
        <f>+VLOOKUP(A54,'[1]PA 2023'!$A$8:$E$84,5)</f>
        <v>Formular e implementar 1 estrategia de orientación ocupacional, aprovechamiento del tiempo libre, formación y esparcimiento cultural y actividades que mejoren la calidad de vida dirigidas a personas con discapacidad.</v>
      </c>
      <c r="C54" s="14">
        <v>2020680010121</v>
      </c>
      <c r="D54" s="14" t="str">
        <f>+VLOOKUP(C54,'[1]PA 2023'!$G$8:$H$84,2,FALSE)</f>
        <v>APOYO A LA OPERATIVIDAD DE LOS PROGRAMAS DE ATENCIÓN INTEGRAL A LAS PERSONAS CON DISCAPACIDAD. FAMILIARES Y/O CUIDADORES DEL MUNICIPIO DE BUCARAMANGA</v>
      </c>
      <c r="E54" s="13" t="s">
        <v>205</v>
      </c>
      <c r="F54" s="15">
        <v>797</v>
      </c>
      <c r="G54" s="21" t="s">
        <v>43</v>
      </c>
      <c r="H54" s="22" t="s">
        <v>36</v>
      </c>
      <c r="I54" s="13" t="s">
        <v>206</v>
      </c>
      <c r="J54" s="13" t="s">
        <v>207</v>
      </c>
      <c r="K54" s="16">
        <v>44953</v>
      </c>
      <c r="L54" s="17">
        <v>14000000</v>
      </c>
      <c r="M54" s="17">
        <v>14000000</v>
      </c>
      <c r="N54" s="18">
        <f>7116666.67+3500000</f>
        <v>10616666.67</v>
      </c>
      <c r="O54" s="22" t="s">
        <v>208</v>
      </c>
      <c r="Q54" s="13">
        <v>1522</v>
      </c>
      <c r="R54" s="23" t="s">
        <v>193</v>
      </c>
      <c r="S54" s="13" t="s">
        <v>209</v>
      </c>
      <c r="T54" s="13" t="s">
        <v>16</v>
      </c>
      <c r="U54" s="17">
        <f>+M54-N54+M481</f>
        <v>0</v>
      </c>
    </row>
    <row r="55" spans="1:21" x14ac:dyDescent="0.3">
      <c r="A55" s="13">
        <v>68</v>
      </c>
      <c r="B55" s="13" t="str">
        <f>+VLOOKUP(A55,'[1]PA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55" s="14">
        <v>2021680010003</v>
      </c>
      <c r="D55" s="14" t="str">
        <f>+VLOOKUP(C55,'[1]PA 2023'!$G$8:$H$84,2,FALSE)</f>
        <v>IMPLEMENTACIÓN DE ESTRATEGIAS PSICOPEDAGÓGICAS PARA LA DISMINUCIÓN DE FACTORES DE RIESGO EN NIÑOS, NIÑAS Y ADOLESCENTES EN EL MUNICIPIO DE BUCARAMANGA</v>
      </c>
      <c r="E55" s="13" t="s">
        <v>210</v>
      </c>
      <c r="F55" s="15">
        <v>808</v>
      </c>
      <c r="G55" s="21" t="s">
        <v>43</v>
      </c>
      <c r="H55" s="22" t="s">
        <v>36</v>
      </c>
      <c r="I55" s="13" t="s">
        <v>211</v>
      </c>
      <c r="J55" s="13" t="s">
        <v>212</v>
      </c>
      <c r="K55" s="16">
        <v>44954</v>
      </c>
      <c r="L55" s="17">
        <v>12000000</v>
      </c>
      <c r="M55" s="17">
        <v>12000000</v>
      </c>
      <c r="N55" s="18">
        <f>6100000+3000000+2900000</f>
        <v>12000000</v>
      </c>
      <c r="O55" s="22" t="s">
        <v>213</v>
      </c>
      <c r="Q55" s="13">
        <v>1535</v>
      </c>
      <c r="R55" s="13" t="s">
        <v>164</v>
      </c>
      <c r="S55" s="13" t="s">
        <v>214</v>
      </c>
      <c r="T55" s="13" t="s">
        <v>16</v>
      </c>
      <c r="U55" s="17">
        <f t="shared" ref="U55:U78" si="3">+M55-N55</f>
        <v>0</v>
      </c>
    </row>
    <row r="56" spans="1:21" x14ac:dyDescent="0.3">
      <c r="A56" s="13">
        <v>234</v>
      </c>
      <c r="B56" s="13" t="str">
        <f>+VLOOKUP(A56,'[1]PA 2023'!$A$8:$E$84,5)</f>
        <v>Mantener la estrategia para la prevención, detección y atención de las violencias en adolescentes.</v>
      </c>
      <c r="C56" s="14">
        <v>2021680010003</v>
      </c>
      <c r="D56" s="14" t="str">
        <f>+VLOOKUP(C56,'[1]PA 2023'!$G$8:$H$84,2,FALSE)</f>
        <v>IMPLEMENTACIÓN DE ESTRATEGIAS PSICOPEDAGÓGICAS PARA LA DISMINUCIÓN DE FACTORES DE RIESGO EN NIÑOS, NIÑAS Y ADOLESCENTES EN EL MUNICIPIO DE BUCARAMANGA</v>
      </c>
      <c r="E56" s="13" t="s">
        <v>215</v>
      </c>
      <c r="F56" s="15">
        <v>811</v>
      </c>
      <c r="G56" s="21" t="s">
        <v>43</v>
      </c>
      <c r="H56" s="22" t="s">
        <v>36</v>
      </c>
      <c r="I56" s="13" t="s">
        <v>216</v>
      </c>
      <c r="J56" s="13" t="s">
        <v>212</v>
      </c>
      <c r="K56" s="16">
        <v>44954</v>
      </c>
      <c r="L56" s="17">
        <v>12000000</v>
      </c>
      <c r="M56" s="17">
        <v>12000000</v>
      </c>
      <c r="N56" s="18">
        <f>100000+6000000+3000000+2900000</f>
        <v>12000000</v>
      </c>
      <c r="O56" s="22" t="s">
        <v>217</v>
      </c>
      <c r="Q56" s="13">
        <v>1536</v>
      </c>
      <c r="R56" s="13" t="s">
        <v>164</v>
      </c>
      <c r="S56" s="13" t="s">
        <v>218</v>
      </c>
      <c r="T56" s="13" t="s">
        <v>16</v>
      </c>
      <c r="U56" s="17">
        <f t="shared" si="3"/>
        <v>0</v>
      </c>
    </row>
    <row r="57" spans="1:21" x14ac:dyDescent="0.3">
      <c r="A57" s="13">
        <v>68</v>
      </c>
      <c r="B57" s="13" t="str">
        <f>+VLOOKUP(A57,'[1]PA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57" s="14">
        <v>2022680010056</v>
      </c>
      <c r="D57" s="14" t="str">
        <f>+VLOOKUP(C57,'[1]PA 2023'!$G$8:$H$84,2,FALSE)</f>
        <v>APOYO EN LOS PROCESOS DE ATENCIÓN INTEGRAL DE LOS NIÑOS Y NIÑAS EN EL ESPACIO DE CUIDADO Y ALBERGUE "CASA BÚHO" EN EL MUNICIPIO DE BUCARAMANGA</v>
      </c>
      <c r="E57" s="13" t="s">
        <v>219</v>
      </c>
      <c r="F57" s="15">
        <v>825</v>
      </c>
      <c r="G57" s="21" t="s">
        <v>43</v>
      </c>
      <c r="H57" s="22" t="s">
        <v>36</v>
      </c>
      <c r="I57" s="13" t="s">
        <v>220</v>
      </c>
      <c r="J57" s="13" t="s">
        <v>168</v>
      </c>
      <c r="K57" s="16">
        <v>44954</v>
      </c>
      <c r="L57" s="17">
        <v>12000000</v>
      </c>
      <c r="M57" s="17">
        <v>12000000</v>
      </c>
      <c r="N57" s="18">
        <f>6000000+3000000+3000000</f>
        <v>12000000</v>
      </c>
      <c r="O57" s="22" t="s">
        <v>221</v>
      </c>
      <c r="Q57" s="13">
        <v>1537</v>
      </c>
      <c r="R57" s="13" t="s">
        <v>170</v>
      </c>
      <c r="S57" s="13" t="s">
        <v>222</v>
      </c>
      <c r="T57" s="13" t="s">
        <v>16</v>
      </c>
      <c r="U57" s="17">
        <f t="shared" si="3"/>
        <v>0</v>
      </c>
    </row>
    <row r="58" spans="1:21" x14ac:dyDescent="0.3">
      <c r="A58" s="13">
        <v>300</v>
      </c>
      <c r="B58" s="13" t="str">
        <f>+VLOOKUP(A58,'[1]PA 2023'!$A$8:$E$84,5)</f>
        <v>Mantener el 100% de los programas que desarrolla la Administración Central.</v>
      </c>
      <c r="C58" s="14">
        <v>2020680010025</v>
      </c>
      <c r="D58" s="14" t="str">
        <f>+VLOOKUP(C58,'[1]PA 2023'!$G$8:$H$84,2,FALSE)</f>
        <v>MEJORAMIENTO DE LOS PROCESOS TRANSVERSALES PARA UNA ADMINISTRACIÓN PUBLICA MODERNA Y EFICIENTE EN LA SECRETARÍA DE DESARROLLO SOCIAL DEL MUNICIPIO BUCARAMANGA</v>
      </c>
      <c r="E58" s="13" t="s">
        <v>223</v>
      </c>
      <c r="F58" s="15">
        <v>826</v>
      </c>
      <c r="G58" s="21" t="s">
        <v>43</v>
      </c>
      <c r="H58" s="22" t="s">
        <v>36</v>
      </c>
      <c r="I58" s="13" t="s">
        <v>224</v>
      </c>
      <c r="J58" s="13" t="s">
        <v>38</v>
      </c>
      <c r="K58" s="16">
        <v>44954</v>
      </c>
      <c r="L58" s="17">
        <v>16000000</v>
      </c>
      <c r="M58" s="17">
        <v>16000000</v>
      </c>
      <c r="N58" s="18">
        <f>4000000+4400000+4000000+3600000</f>
        <v>16000000</v>
      </c>
      <c r="O58" s="22" t="s">
        <v>225</v>
      </c>
      <c r="Q58" s="13">
        <v>1538</v>
      </c>
      <c r="R58" s="13" t="s">
        <v>40</v>
      </c>
      <c r="S58" s="13" t="s">
        <v>226</v>
      </c>
      <c r="T58" s="13" t="s">
        <v>16</v>
      </c>
      <c r="U58" s="17">
        <f t="shared" si="3"/>
        <v>0</v>
      </c>
    </row>
    <row r="59" spans="1:21" x14ac:dyDescent="0.3">
      <c r="A59" s="13">
        <v>68</v>
      </c>
      <c r="B59" s="13" t="str">
        <f>+VLOOKUP(A59,'[1]PA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59" s="14">
        <v>2022680010056</v>
      </c>
      <c r="D59" s="14" t="str">
        <f>+VLOOKUP(C59,'[1]PA 2023'!$G$8:$H$84,2,FALSE)</f>
        <v>APOYO EN LOS PROCESOS DE ATENCIÓN INTEGRAL DE LOS NIÑOS Y NIÑAS EN EL ESPACIO DE CUIDADO Y ALBERGUE "CASA BÚHO" EN EL MUNICIPIO DE BUCARAMANGA</v>
      </c>
      <c r="E59" s="13" t="s">
        <v>219</v>
      </c>
      <c r="F59" s="15">
        <v>831</v>
      </c>
      <c r="G59" s="21" t="s">
        <v>43</v>
      </c>
      <c r="H59" s="22" t="s">
        <v>36</v>
      </c>
      <c r="I59" s="13" t="s">
        <v>227</v>
      </c>
      <c r="J59" s="13" t="s">
        <v>168</v>
      </c>
      <c r="K59" s="16">
        <v>44954</v>
      </c>
      <c r="L59" s="17">
        <v>12000000</v>
      </c>
      <c r="M59" s="17">
        <v>12000000</v>
      </c>
      <c r="N59" s="18">
        <f>6000000+3000000+3000000</f>
        <v>12000000</v>
      </c>
      <c r="O59" s="22" t="s">
        <v>228</v>
      </c>
      <c r="Q59" s="13">
        <v>1551</v>
      </c>
      <c r="R59" s="13" t="s">
        <v>170</v>
      </c>
      <c r="S59" s="13" t="s">
        <v>229</v>
      </c>
      <c r="T59" s="13" t="s">
        <v>16</v>
      </c>
      <c r="U59" s="17">
        <f t="shared" si="3"/>
        <v>0</v>
      </c>
    </row>
    <row r="60" spans="1:21" x14ac:dyDescent="0.3">
      <c r="A60" s="13">
        <v>117</v>
      </c>
      <c r="B60" s="13" t="str">
        <f>+VLOOKUP(A60,'[1]PA 2023'!$A$8:$E$84,5)</f>
        <v>Formular e implementar 1 estrategia de orientación ocupacional, aprovechamiento del tiempo libre, formación y esparcimiento cultural y actividades que mejoren la calidad de vida dirigidas a personas con discapacidad.</v>
      </c>
      <c r="C60" s="14">
        <v>2020680010121</v>
      </c>
      <c r="D60" s="14" t="str">
        <f>+VLOOKUP(C60,'[1]PA 2023'!$G$8:$H$84,2,FALSE)</f>
        <v>APOYO A LA OPERATIVIDAD DE LOS PROGRAMAS DE ATENCIÓN INTEGRAL A LAS PERSONAS CON DISCAPACIDAD. FAMILIARES Y/O CUIDADORES DEL MUNICIPIO DE BUCARAMANGA</v>
      </c>
      <c r="E60" s="13" t="s">
        <v>230</v>
      </c>
      <c r="F60" s="15">
        <v>828</v>
      </c>
      <c r="G60" s="21" t="s">
        <v>43</v>
      </c>
      <c r="H60" s="22" t="s">
        <v>36</v>
      </c>
      <c r="I60" s="13" t="s">
        <v>231</v>
      </c>
      <c r="J60" s="13" t="s">
        <v>207</v>
      </c>
      <c r="K60" s="16">
        <v>44956</v>
      </c>
      <c r="L60" s="17">
        <v>12000000</v>
      </c>
      <c r="M60" s="17">
        <v>12000000</v>
      </c>
      <c r="N60" s="18">
        <f>100000+6000000+3000000+2900000</f>
        <v>12000000</v>
      </c>
      <c r="O60" s="22" t="s">
        <v>232</v>
      </c>
      <c r="Q60" s="13">
        <v>1570</v>
      </c>
      <c r="R60" s="13" t="s">
        <v>193</v>
      </c>
      <c r="S60" s="13" t="s">
        <v>233</v>
      </c>
      <c r="T60" s="13" t="s">
        <v>16</v>
      </c>
      <c r="U60" s="17">
        <f t="shared" si="3"/>
        <v>0</v>
      </c>
    </row>
    <row r="61" spans="1:21" x14ac:dyDescent="0.3">
      <c r="A61" s="13">
        <v>71</v>
      </c>
      <c r="B61" s="13" t="str">
        <f>+VLOOKUP(A61,'[1]PA 2023'!$A$8:$E$84,5)</f>
        <v>Formular e implementar 1 estrategia de corresponsabilidad en la garantía de derechos, la prevención de vulneración, amenaza o riesgo en el ámbito familiar, comunitario e institucional.</v>
      </c>
      <c r="C61" s="14">
        <v>2022680010056</v>
      </c>
      <c r="D61" s="14" t="str">
        <f>+VLOOKUP(C61,'[1]PA 2023'!$G$8:$H$84,2,FALSE)</f>
        <v>APOYO EN LOS PROCESOS DE ATENCIÓN INTEGRAL DE LOS NIÑOS Y NIÑAS EN EL ESPACIO DE CUIDADO Y ALBERGUE "CASA BÚHO" EN EL MUNICIPIO DE BUCARAMANGA</v>
      </c>
      <c r="E61" s="13" t="s">
        <v>234</v>
      </c>
      <c r="F61" s="15">
        <v>850</v>
      </c>
      <c r="G61" s="21" t="s">
        <v>43</v>
      </c>
      <c r="H61" s="22" t="s">
        <v>36</v>
      </c>
      <c r="I61" s="13" t="s">
        <v>235</v>
      </c>
      <c r="J61" s="13" t="s">
        <v>168</v>
      </c>
      <c r="K61" s="16">
        <v>44956</v>
      </c>
      <c r="L61" s="17">
        <v>12000000</v>
      </c>
      <c r="M61" s="17">
        <v>12000000</v>
      </c>
      <c r="N61" s="18">
        <f>6000000+3000000+3000000</f>
        <v>12000000</v>
      </c>
      <c r="O61" s="22" t="s">
        <v>236</v>
      </c>
      <c r="Q61" s="13">
        <v>1571</v>
      </c>
      <c r="R61" s="13" t="s">
        <v>170</v>
      </c>
      <c r="S61" s="13" t="s">
        <v>237</v>
      </c>
      <c r="T61" s="13" t="s">
        <v>16</v>
      </c>
      <c r="U61" s="17">
        <f t="shared" si="3"/>
        <v>0</v>
      </c>
    </row>
    <row r="62" spans="1:21" x14ac:dyDescent="0.3">
      <c r="A62" s="13">
        <v>76</v>
      </c>
      <c r="B62" s="13" t="str">
        <f>+VLOOKUP(A62,'[1]PA 2023'!$A$8:$E$84,5)</f>
        <v>Implementar y mantener la Ruta de Prevención, Detección y Atención Interinstitucional frente casos de niños, niñas y adolescentes victimas de bullying, abuso, acoso y/o explotación sexual.</v>
      </c>
      <c r="C62" s="14">
        <v>2021680010003</v>
      </c>
      <c r="D62" s="14" t="str">
        <f>+VLOOKUP(C62,'[1]PA 2023'!$G$8:$H$84,2,FALSE)</f>
        <v>IMPLEMENTACIÓN DE ESTRATEGIAS PSICOPEDAGÓGICAS PARA LA DISMINUCIÓN DE FACTORES DE RIESGO EN NIÑOS, NIÑAS Y ADOLESCENTES EN EL MUNICIPIO DE BUCARAMANGA</v>
      </c>
      <c r="E62" s="13" t="s">
        <v>238</v>
      </c>
      <c r="F62" s="15">
        <v>852</v>
      </c>
      <c r="G62" s="21" t="s">
        <v>43</v>
      </c>
      <c r="H62" s="22" t="s">
        <v>36</v>
      </c>
      <c r="I62" s="13" t="s">
        <v>239</v>
      </c>
      <c r="J62" s="13" t="s">
        <v>212</v>
      </c>
      <c r="K62" s="16">
        <v>44956</v>
      </c>
      <c r="L62" s="17">
        <v>16000000</v>
      </c>
      <c r="M62" s="17">
        <v>16000000</v>
      </c>
      <c r="N62" s="18">
        <f>8133333.33+4000000+3866666.67</f>
        <v>16000000</v>
      </c>
      <c r="O62" s="22" t="s">
        <v>240</v>
      </c>
      <c r="Q62" s="13">
        <v>1572</v>
      </c>
      <c r="R62" s="13" t="s">
        <v>164</v>
      </c>
      <c r="S62" s="13" t="s">
        <v>241</v>
      </c>
      <c r="T62" s="13" t="s">
        <v>16</v>
      </c>
      <c r="U62" s="17">
        <f t="shared" si="3"/>
        <v>0</v>
      </c>
    </row>
    <row r="63" spans="1:21" x14ac:dyDescent="0.3">
      <c r="A63" s="13">
        <v>300</v>
      </c>
      <c r="B63" s="13" t="str">
        <f>+VLOOKUP(A63,'[1]PA 2023'!$A$8:$E$84,5)</f>
        <v>Mantener el 100% de los programas que desarrolla la Administración Central.</v>
      </c>
      <c r="C63" s="14">
        <v>2020680010025</v>
      </c>
      <c r="D63" s="14" t="str">
        <f>+VLOOKUP(C63,'[1]PA 2023'!$G$8:$H$84,2,FALSE)</f>
        <v>MEJORAMIENTO DE LOS PROCESOS TRANSVERSALES PARA UNA ADMINISTRACIÓN PUBLICA MODERNA Y EFICIENTE EN LA SECRETARÍA DE DESARROLLO SOCIAL DEL MUNICIPIO BUCARAMANGA</v>
      </c>
      <c r="E63" s="13" t="s">
        <v>242</v>
      </c>
      <c r="F63" s="15">
        <v>854</v>
      </c>
      <c r="G63" s="21" t="s">
        <v>43</v>
      </c>
      <c r="H63" s="22" t="s">
        <v>36</v>
      </c>
      <c r="I63" s="13" t="s">
        <v>243</v>
      </c>
      <c r="J63" s="13" t="s">
        <v>38</v>
      </c>
      <c r="K63" s="16">
        <v>44956</v>
      </c>
      <c r="L63" s="17">
        <v>22000000</v>
      </c>
      <c r="M63" s="17">
        <v>22000000</v>
      </c>
      <c r="N63" s="18">
        <f>11000000+5500000+5500000</f>
        <v>22000000</v>
      </c>
      <c r="O63" s="22" t="s">
        <v>244</v>
      </c>
      <c r="Q63" s="13">
        <v>1584</v>
      </c>
      <c r="R63" s="13" t="s">
        <v>40</v>
      </c>
      <c r="S63" s="13" t="s">
        <v>245</v>
      </c>
      <c r="T63" s="13" t="s">
        <v>16</v>
      </c>
      <c r="U63" s="17">
        <f t="shared" si="3"/>
        <v>0</v>
      </c>
    </row>
    <row r="64" spans="1:21" x14ac:dyDescent="0.3">
      <c r="A64" s="13">
        <v>300</v>
      </c>
      <c r="B64" s="13" t="str">
        <f>+VLOOKUP(A64,'[1]PA 2023'!$A$8:$E$84,5)</f>
        <v>Mantener el 100% de los programas que desarrolla la Administración Central.</v>
      </c>
      <c r="C64" s="14">
        <v>2020680010025</v>
      </c>
      <c r="D64" s="14" t="str">
        <f>+VLOOKUP(C64,'[1]PA 2023'!$G$8:$H$84,2,FALSE)</f>
        <v>MEJORAMIENTO DE LOS PROCESOS TRANSVERSALES PARA UNA ADMINISTRACIÓN PUBLICA MODERNA Y EFICIENTE EN LA SECRETARÍA DE DESARROLLO SOCIAL DEL MUNICIPIO BUCARAMANGA</v>
      </c>
      <c r="E64" s="13" t="s">
        <v>246</v>
      </c>
      <c r="F64" s="15">
        <v>855</v>
      </c>
      <c r="G64" s="21" t="s">
        <v>35</v>
      </c>
      <c r="H64" s="22" t="s">
        <v>36</v>
      </c>
      <c r="I64" s="13" t="s">
        <v>247</v>
      </c>
      <c r="J64" s="13" t="s">
        <v>38</v>
      </c>
      <c r="K64" s="16">
        <v>44956</v>
      </c>
      <c r="L64" s="17">
        <v>12000000</v>
      </c>
      <c r="M64" s="17">
        <v>12000000</v>
      </c>
      <c r="N64" s="18">
        <f>6000000+3000000+3000000</f>
        <v>12000000</v>
      </c>
      <c r="O64" s="22" t="s">
        <v>248</v>
      </c>
      <c r="Q64" s="13">
        <v>1585</v>
      </c>
      <c r="R64" s="13" t="s">
        <v>40</v>
      </c>
      <c r="S64" s="13" t="s">
        <v>249</v>
      </c>
      <c r="T64" s="13" t="s">
        <v>16</v>
      </c>
      <c r="U64" s="17">
        <f t="shared" si="3"/>
        <v>0</v>
      </c>
    </row>
    <row r="65" spans="1:21" x14ac:dyDescent="0.3">
      <c r="A65" s="13">
        <v>71</v>
      </c>
      <c r="B65" s="13" t="str">
        <f>+VLOOKUP(A65,'[1]PA 2023'!$A$8:$E$84,5)</f>
        <v>Formular e implementar 1 estrategia de corresponsabilidad en la garantía de derechos, la prevención de vulneración, amenaza o riesgo en el ámbito familiar, comunitario e institucional.</v>
      </c>
      <c r="C65" s="14">
        <v>2022680010056</v>
      </c>
      <c r="D65" s="14" t="str">
        <f>+VLOOKUP(C65,'[1]PA 2023'!$G$8:$H$84,2,FALSE)</f>
        <v>APOYO EN LOS PROCESOS DE ATENCIÓN INTEGRAL DE LOS NIÑOS Y NIÑAS EN EL ESPACIO DE CUIDADO Y ALBERGUE "CASA BÚHO" EN EL MUNICIPIO DE BUCARAMANGA</v>
      </c>
      <c r="E65" s="13" t="s">
        <v>250</v>
      </c>
      <c r="F65" s="15">
        <v>857</v>
      </c>
      <c r="G65" s="21" t="s">
        <v>35</v>
      </c>
      <c r="H65" s="22" t="s">
        <v>36</v>
      </c>
      <c r="I65" s="13" t="s">
        <v>251</v>
      </c>
      <c r="J65" s="13" t="s">
        <v>168</v>
      </c>
      <c r="K65" s="16">
        <v>44956</v>
      </c>
      <c r="L65" s="17">
        <v>8800000</v>
      </c>
      <c r="M65" s="17">
        <v>8800000</v>
      </c>
      <c r="N65" s="18">
        <f>4400000+2200000+2200000</f>
        <v>8800000</v>
      </c>
      <c r="O65" s="22" t="s">
        <v>252</v>
      </c>
      <c r="Q65" s="13">
        <v>1586</v>
      </c>
      <c r="R65" s="13" t="s">
        <v>170</v>
      </c>
      <c r="S65" s="13" t="s">
        <v>253</v>
      </c>
      <c r="T65" s="13" t="s">
        <v>16</v>
      </c>
      <c r="U65" s="17">
        <f t="shared" si="3"/>
        <v>0</v>
      </c>
    </row>
    <row r="66" spans="1:21" x14ac:dyDescent="0.3">
      <c r="A66" s="13">
        <v>77</v>
      </c>
      <c r="B66" s="13" t="str">
        <f>+VLOOKUP(A66,'[1]PA 2023'!$A$8:$E$84,5)</f>
        <v>Realizar 4 jornadas de conmemoración del día de la niñez.</v>
      </c>
      <c r="C66" s="14">
        <v>2021680010003</v>
      </c>
      <c r="D66" s="14" t="str">
        <f>+VLOOKUP(C66,'[1]PA 2023'!$G$8:$H$84,2,FALSE)</f>
        <v>IMPLEMENTACIÓN DE ESTRATEGIAS PSICOPEDAGÓGICAS PARA LA DISMINUCIÓN DE FACTORES DE RIESGO EN NIÑOS, NIÑAS Y ADOLESCENTES EN EL MUNICIPIO DE BUCARAMANGA</v>
      </c>
      <c r="E66" s="13" t="s">
        <v>254</v>
      </c>
      <c r="F66" s="15">
        <v>839</v>
      </c>
      <c r="G66" s="21" t="s">
        <v>35</v>
      </c>
      <c r="H66" s="22" t="s">
        <v>36</v>
      </c>
      <c r="I66" s="13" t="s">
        <v>255</v>
      </c>
      <c r="J66" s="13" t="s">
        <v>212</v>
      </c>
      <c r="K66" s="16">
        <v>44956</v>
      </c>
      <c r="L66" s="17">
        <v>8800000</v>
      </c>
      <c r="M66" s="17">
        <v>8800000</v>
      </c>
      <c r="N66" s="18">
        <f>4473333.33+2200000+2126666.67</f>
        <v>8800000</v>
      </c>
      <c r="O66" s="22" t="s">
        <v>256</v>
      </c>
      <c r="Q66" s="13">
        <v>1587</v>
      </c>
      <c r="R66" s="13" t="s">
        <v>164</v>
      </c>
      <c r="S66" s="13" t="s">
        <v>257</v>
      </c>
      <c r="T66" s="13" t="s">
        <v>16</v>
      </c>
      <c r="U66" s="17">
        <f t="shared" si="3"/>
        <v>0</v>
      </c>
    </row>
    <row r="67" spans="1:21" x14ac:dyDescent="0.3">
      <c r="A67" s="13">
        <v>78</v>
      </c>
      <c r="B67" s="13" t="str">
        <f>+VLOOKUP(A67,'[1]PA 2023'!$A$8:$E$84,5)</f>
        <v>Formular e implementar 1 ruta de atención integral para niños, niñas, adolescentes refugiados y migrantes y sus familias.</v>
      </c>
      <c r="C67" s="14">
        <v>2022680010056</v>
      </c>
      <c r="D67" s="14" t="str">
        <f>+VLOOKUP(C67,'[1]PA 2023'!$G$8:$H$84,2,FALSE)</f>
        <v>APOYO EN LOS PROCESOS DE ATENCIÓN INTEGRAL DE LOS NIÑOS Y NIÑAS EN EL ESPACIO DE CUIDADO Y ALBERGUE "CASA BÚHO" EN EL MUNICIPIO DE BUCARAMANGA</v>
      </c>
      <c r="E67" s="13" t="s">
        <v>258</v>
      </c>
      <c r="F67" s="15" t="s">
        <v>22</v>
      </c>
      <c r="G67" s="15" t="s">
        <v>23</v>
      </c>
      <c r="H67" s="15" t="s">
        <v>23</v>
      </c>
      <c r="I67" s="13" t="s">
        <v>24</v>
      </c>
      <c r="J67" s="13" t="s">
        <v>168</v>
      </c>
      <c r="K67" s="16">
        <v>44956</v>
      </c>
      <c r="L67" s="17">
        <v>189520</v>
      </c>
      <c r="M67" s="17">
        <v>189520</v>
      </c>
      <c r="N67" s="18">
        <v>189520</v>
      </c>
      <c r="O67" s="15" t="s">
        <v>23</v>
      </c>
      <c r="Q67" s="13">
        <v>1588</v>
      </c>
      <c r="R67" s="13" t="s">
        <v>170</v>
      </c>
      <c r="S67" s="13" t="s">
        <v>27</v>
      </c>
      <c r="T67" s="13" t="s">
        <v>16</v>
      </c>
      <c r="U67" s="17">
        <f t="shared" si="3"/>
        <v>0</v>
      </c>
    </row>
    <row r="68" spans="1:21" x14ac:dyDescent="0.3">
      <c r="A68" s="13">
        <v>78</v>
      </c>
      <c r="B68" s="13" t="str">
        <f>+VLOOKUP(A68,'[1]PA 2023'!$A$8:$E$84,5)</f>
        <v>Formular e implementar 1 ruta de atención integral para niños, niñas, adolescentes refugiados y migrantes y sus familias.</v>
      </c>
      <c r="C68" s="14">
        <v>2022680010056</v>
      </c>
      <c r="D68" s="14" t="str">
        <f>+VLOOKUP(C68,'[1]PA 2023'!$G$8:$H$84,2,FALSE)</f>
        <v>APOYO EN LOS PROCESOS DE ATENCIÓN INTEGRAL DE LOS NIÑOS Y NIÑAS EN EL ESPACIO DE CUIDADO Y ALBERGUE "CASA BÚHO" EN EL MUNICIPIO DE BUCARAMANGA</v>
      </c>
      <c r="E68" s="13" t="s">
        <v>259</v>
      </c>
      <c r="F68" s="15" t="s">
        <v>22</v>
      </c>
      <c r="G68" s="15" t="s">
        <v>23</v>
      </c>
      <c r="H68" s="15" t="s">
        <v>23</v>
      </c>
      <c r="I68" s="13" t="s">
        <v>260</v>
      </c>
      <c r="J68" s="13" t="s">
        <v>168</v>
      </c>
      <c r="K68" s="16">
        <v>44956</v>
      </c>
      <c r="L68" s="17">
        <v>369178</v>
      </c>
      <c r="M68" s="17">
        <v>369178</v>
      </c>
      <c r="N68" s="18">
        <v>369178</v>
      </c>
      <c r="O68" s="15" t="s">
        <v>23</v>
      </c>
      <c r="Q68" s="13">
        <v>1589</v>
      </c>
      <c r="R68" s="13" t="s">
        <v>170</v>
      </c>
      <c r="S68" s="13" t="s">
        <v>261</v>
      </c>
      <c r="T68" s="13" t="s">
        <v>16</v>
      </c>
      <c r="U68" s="17">
        <f t="shared" si="3"/>
        <v>0</v>
      </c>
    </row>
    <row r="69" spans="1:21" x14ac:dyDescent="0.3">
      <c r="A69" s="13">
        <v>81</v>
      </c>
      <c r="B69" s="13" t="str">
        <f>+VLOOKUP(A69,'[1]PA 2023'!$A$8:$E$84,5)</f>
        <v>Desarrollar 3 jornadas de uso creativo del tiempo y emprendimiento que potencien sus competencias y motiven continuar en diferentes niveles de educación superior.</v>
      </c>
      <c r="C69" s="14">
        <v>2021680010003</v>
      </c>
      <c r="D69" s="14" t="str">
        <f>+VLOOKUP(C69,'[1]PA 2023'!$G$8:$H$84,2,FALSE)</f>
        <v>IMPLEMENTACIÓN DE ESTRATEGIAS PSICOPEDAGÓGICAS PARA LA DISMINUCIÓN DE FACTORES DE RIESGO EN NIÑOS, NIÑAS Y ADOLESCENTES EN EL MUNICIPIO DE BUCARAMANGA</v>
      </c>
      <c r="E69" s="13" t="s">
        <v>262</v>
      </c>
      <c r="F69" s="15">
        <v>865</v>
      </c>
      <c r="G69" s="21" t="s">
        <v>35</v>
      </c>
      <c r="H69" s="22" t="s">
        <v>36</v>
      </c>
      <c r="I69" s="13" t="s">
        <v>263</v>
      </c>
      <c r="J69" s="13" t="s">
        <v>212</v>
      </c>
      <c r="K69" s="16">
        <v>44956</v>
      </c>
      <c r="L69" s="17">
        <v>12000000</v>
      </c>
      <c r="M69" s="17">
        <v>12000000</v>
      </c>
      <c r="N69" s="18">
        <f>6000000+3000000+3000000</f>
        <v>12000000</v>
      </c>
      <c r="O69" s="22" t="s">
        <v>264</v>
      </c>
      <c r="Q69" s="13">
        <v>1603</v>
      </c>
      <c r="R69" s="13" t="s">
        <v>164</v>
      </c>
      <c r="S69" s="13" t="s">
        <v>265</v>
      </c>
      <c r="T69" s="13" t="s">
        <v>16</v>
      </c>
      <c r="U69" s="17">
        <f t="shared" si="3"/>
        <v>0</v>
      </c>
    </row>
    <row r="70" spans="1:21" x14ac:dyDescent="0.3">
      <c r="A70" s="13">
        <v>71</v>
      </c>
      <c r="B70" s="13" t="str">
        <f>+VLOOKUP(A70,'[1]PA 2023'!$A$8:$E$84,5)</f>
        <v>Formular e implementar 1 estrategia de corresponsabilidad en la garantía de derechos, la prevención de vulneración, amenaza o riesgo en el ámbito familiar, comunitario e institucional.</v>
      </c>
      <c r="C70" s="14">
        <v>2022680010056</v>
      </c>
      <c r="D70" s="14" t="str">
        <f>+VLOOKUP(C70,'[1]PA 2023'!$G$8:$H$84,2,FALSE)</f>
        <v>APOYO EN LOS PROCESOS DE ATENCIÓN INTEGRAL DE LOS NIÑOS Y NIÑAS EN EL ESPACIO DE CUIDADO Y ALBERGUE "CASA BÚHO" EN EL MUNICIPIO DE BUCARAMANGA</v>
      </c>
      <c r="E70" s="13" t="s">
        <v>266</v>
      </c>
      <c r="F70" s="15">
        <v>868</v>
      </c>
      <c r="G70" s="21" t="s">
        <v>43</v>
      </c>
      <c r="H70" s="22" t="s">
        <v>36</v>
      </c>
      <c r="I70" s="13" t="s">
        <v>267</v>
      </c>
      <c r="J70" s="13" t="s">
        <v>168</v>
      </c>
      <c r="K70" s="16">
        <v>44956</v>
      </c>
      <c r="L70" s="17">
        <v>12000000</v>
      </c>
      <c r="M70" s="17">
        <v>12000000</v>
      </c>
      <c r="N70" s="18">
        <f>6000000+3000000+3000000</f>
        <v>12000000</v>
      </c>
      <c r="O70" s="22" t="s">
        <v>268</v>
      </c>
      <c r="Q70" s="13">
        <v>1604</v>
      </c>
      <c r="R70" s="13" t="s">
        <v>170</v>
      </c>
      <c r="S70" s="13" t="s">
        <v>269</v>
      </c>
      <c r="T70" s="13" t="s">
        <v>16</v>
      </c>
      <c r="U70" s="17">
        <f t="shared" si="3"/>
        <v>0</v>
      </c>
    </row>
    <row r="71" spans="1:21" x14ac:dyDescent="0.3">
      <c r="A71" s="13">
        <v>71</v>
      </c>
      <c r="B71" s="13" t="str">
        <f>+VLOOKUP(A71,'[1]PA 2023'!$A$8:$E$84,5)</f>
        <v>Formular e implementar 1 estrategia de corresponsabilidad en la garantía de derechos, la prevención de vulneración, amenaza o riesgo en el ámbito familiar, comunitario e institucional.</v>
      </c>
      <c r="C71" s="14">
        <v>2022680010056</v>
      </c>
      <c r="D71" s="14" t="str">
        <f>+VLOOKUP(C71,'[1]PA 2023'!$G$8:$H$84,2,FALSE)</f>
        <v>APOYO EN LOS PROCESOS DE ATENCIÓN INTEGRAL DE LOS NIÑOS Y NIÑAS EN EL ESPACIO DE CUIDADO Y ALBERGUE "CASA BÚHO" EN EL MUNICIPIO DE BUCARAMANGA</v>
      </c>
      <c r="E71" s="13" t="s">
        <v>270</v>
      </c>
      <c r="F71" s="15">
        <v>867</v>
      </c>
      <c r="G71" s="21" t="s">
        <v>43</v>
      </c>
      <c r="H71" s="22" t="s">
        <v>36</v>
      </c>
      <c r="I71" s="13" t="s">
        <v>271</v>
      </c>
      <c r="J71" s="13" t="s">
        <v>168</v>
      </c>
      <c r="K71" s="16">
        <v>44956</v>
      </c>
      <c r="L71" s="17">
        <v>12000000</v>
      </c>
      <c r="M71" s="17">
        <v>12000000</v>
      </c>
      <c r="N71" s="18">
        <f>6000000+3000000+3000000</f>
        <v>12000000</v>
      </c>
      <c r="O71" s="22" t="s">
        <v>272</v>
      </c>
      <c r="Q71" s="13">
        <v>1605</v>
      </c>
      <c r="R71" s="13" t="s">
        <v>170</v>
      </c>
      <c r="S71" s="13" t="s">
        <v>273</v>
      </c>
      <c r="T71" s="13" t="s">
        <v>16</v>
      </c>
      <c r="U71" s="17">
        <f t="shared" si="3"/>
        <v>0</v>
      </c>
    </row>
    <row r="72" spans="1:21" x14ac:dyDescent="0.3">
      <c r="A72" s="13">
        <v>68</v>
      </c>
      <c r="B72" s="13" t="str">
        <f>+VLOOKUP(A72,'[1]PA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72" s="14">
        <v>2021680010003</v>
      </c>
      <c r="D72" s="14" t="str">
        <f>+VLOOKUP(C72,'[1]PA 2023'!$G$8:$H$84,2,FALSE)</f>
        <v>IMPLEMENTACIÓN DE ESTRATEGIAS PSICOPEDAGÓGICAS PARA LA DISMINUCIÓN DE FACTORES DE RIESGO EN NIÑOS, NIÑAS Y ADOLESCENTES EN EL MUNICIPIO DE BUCARAMANGA</v>
      </c>
      <c r="E72" s="13" t="s">
        <v>274</v>
      </c>
      <c r="F72" s="15">
        <v>859</v>
      </c>
      <c r="G72" s="21" t="s">
        <v>43</v>
      </c>
      <c r="H72" s="22" t="s">
        <v>36</v>
      </c>
      <c r="I72" s="13" t="s">
        <v>275</v>
      </c>
      <c r="J72" s="13" t="s">
        <v>212</v>
      </c>
      <c r="K72" s="16">
        <v>44956</v>
      </c>
      <c r="L72" s="17">
        <v>16000000</v>
      </c>
      <c r="M72" s="17">
        <v>16000000</v>
      </c>
      <c r="N72" s="18">
        <f>8000000+4000000+4000000</f>
        <v>16000000</v>
      </c>
      <c r="O72" s="22" t="s">
        <v>276</v>
      </c>
      <c r="Q72" s="13">
        <v>1610</v>
      </c>
      <c r="R72" s="13" t="s">
        <v>164</v>
      </c>
      <c r="S72" s="13" t="s">
        <v>277</v>
      </c>
      <c r="T72" s="13" t="s">
        <v>16</v>
      </c>
      <c r="U72" s="17">
        <f t="shared" si="3"/>
        <v>0</v>
      </c>
    </row>
    <row r="73" spans="1:21" x14ac:dyDescent="0.3">
      <c r="A73" s="13">
        <v>71</v>
      </c>
      <c r="B73" s="13" t="str">
        <f>+VLOOKUP(A73,'[1]PA 2023'!$A$8:$E$84,5)</f>
        <v>Formular e implementar 1 estrategia de corresponsabilidad en la garantía de derechos, la prevención de vulneración, amenaza o riesgo en el ámbito familiar, comunitario e institucional.</v>
      </c>
      <c r="C73" s="14">
        <v>2022680010056</v>
      </c>
      <c r="D73" s="14" t="str">
        <f>+VLOOKUP(C73,'[1]PA 2023'!$G$8:$H$84,2,FALSE)</f>
        <v>APOYO EN LOS PROCESOS DE ATENCIÓN INTEGRAL DE LOS NIÑOS Y NIÑAS EN EL ESPACIO DE CUIDADO Y ALBERGUE "CASA BÚHO" EN EL MUNICIPIO DE BUCARAMANGA</v>
      </c>
      <c r="E73" s="13" t="s">
        <v>278</v>
      </c>
      <c r="F73" s="15">
        <v>876</v>
      </c>
      <c r="G73" s="21" t="s">
        <v>43</v>
      </c>
      <c r="H73" s="22" t="s">
        <v>36</v>
      </c>
      <c r="I73" s="13" t="s">
        <v>279</v>
      </c>
      <c r="J73" s="13" t="s">
        <v>168</v>
      </c>
      <c r="K73" s="16">
        <v>44956</v>
      </c>
      <c r="L73" s="17">
        <v>12000000</v>
      </c>
      <c r="M73" s="17">
        <v>12000000</v>
      </c>
      <c r="N73" s="18">
        <f>6000000+3000000+3000000</f>
        <v>12000000</v>
      </c>
      <c r="O73" s="22" t="s">
        <v>280</v>
      </c>
      <c r="Q73" s="13">
        <v>1611</v>
      </c>
      <c r="R73" s="13" t="s">
        <v>170</v>
      </c>
      <c r="S73" s="13" t="s">
        <v>281</v>
      </c>
      <c r="T73" s="13" t="s">
        <v>16</v>
      </c>
      <c r="U73" s="17">
        <f t="shared" si="3"/>
        <v>0</v>
      </c>
    </row>
    <row r="74" spans="1:21" x14ac:dyDescent="0.3">
      <c r="A74" s="13">
        <v>71</v>
      </c>
      <c r="B74" s="13" t="str">
        <f>+VLOOKUP(A74,'[1]PA 2023'!$A$8:$E$84,5)</f>
        <v>Formular e implementar 1 estrategia de corresponsabilidad en la garantía de derechos, la prevención de vulneración, amenaza o riesgo en el ámbito familiar, comunitario e institucional.</v>
      </c>
      <c r="C74" s="14">
        <v>2022680010056</v>
      </c>
      <c r="D74" s="14" t="str">
        <f>+VLOOKUP(C74,'[1]PA 2023'!$G$8:$H$84,2,FALSE)</f>
        <v>APOYO EN LOS PROCESOS DE ATENCIÓN INTEGRAL DE LOS NIÑOS Y NIÑAS EN EL ESPACIO DE CUIDADO Y ALBERGUE "CASA BÚHO" EN EL MUNICIPIO DE BUCARAMANGA</v>
      </c>
      <c r="E74" s="13" t="s">
        <v>266</v>
      </c>
      <c r="F74" s="15">
        <v>878</v>
      </c>
      <c r="G74" s="21" t="s">
        <v>43</v>
      </c>
      <c r="H74" s="22" t="s">
        <v>36</v>
      </c>
      <c r="I74" s="13" t="s">
        <v>282</v>
      </c>
      <c r="J74" s="13" t="s">
        <v>168</v>
      </c>
      <c r="K74" s="16">
        <v>44956</v>
      </c>
      <c r="L74" s="17">
        <v>12000000</v>
      </c>
      <c r="M74" s="17">
        <v>12000000</v>
      </c>
      <c r="N74" s="18">
        <f>6000000+3000000+3000000</f>
        <v>12000000</v>
      </c>
      <c r="O74" s="22" t="s">
        <v>283</v>
      </c>
      <c r="Q74" s="13">
        <v>1612</v>
      </c>
      <c r="R74" s="13" t="s">
        <v>170</v>
      </c>
      <c r="S74" s="13" t="s">
        <v>284</v>
      </c>
      <c r="T74" s="13" t="s">
        <v>16</v>
      </c>
      <c r="U74" s="17">
        <f t="shared" si="3"/>
        <v>0</v>
      </c>
    </row>
    <row r="75" spans="1:21" x14ac:dyDescent="0.3">
      <c r="A75" s="13">
        <v>71</v>
      </c>
      <c r="B75" s="13" t="str">
        <f>+VLOOKUP(A75,'[1]PA 2023'!$A$8:$E$84,5)</f>
        <v>Formular e implementar 1 estrategia de corresponsabilidad en la garantía de derechos, la prevención de vulneración, amenaza o riesgo en el ámbito familiar, comunitario e institucional.</v>
      </c>
      <c r="C75" s="14">
        <v>2022680010056</v>
      </c>
      <c r="D75" s="14" t="str">
        <f>+VLOOKUP(C75,'[1]PA 2023'!$G$8:$H$84,2,FALSE)</f>
        <v>APOYO EN LOS PROCESOS DE ATENCIÓN INTEGRAL DE LOS NIÑOS Y NIÑAS EN EL ESPACIO DE CUIDADO Y ALBERGUE "CASA BÚHO" EN EL MUNICIPIO DE BUCARAMANGA</v>
      </c>
      <c r="E75" s="13" t="s">
        <v>266</v>
      </c>
      <c r="F75" s="15">
        <v>874</v>
      </c>
      <c r="G75" s="21" t="s">
        <v>43</v>
      </c>
      <c r="H75" s="22" t="s">
        <v>36</v>
      </c>
      <c r="I75" s="13" t="s">
        <v>285</v>
      </c>
      <c r="J75" s="13" t="s">
        <v>168</v>
      </c>
      <c r="K75" s="16">
        <v>44956</v>
      </c>
      <c r="L75" s="17">
        <v>12000000</v>
      </c>
      <c r="M75" s="17">
        <v>12000000</v>
      </c>
      <c r="N75" s="18">
        <f>6000000+3000000+3000000</f>
        <v>12000000</v>
      </c>
      <c r="O75" s="22" t="s">
        <v>286</v>
      </c>
      <c r="Q75" s="13">
        <v>1613</v>
      </c>
      <c r="R75" s="13" t="s">
        <v>170</v>
      </c>
      <c r="S75" s="13" t="s">
        <v>287</v>
      </c>
      <c r="T75" s="13" t="s">
        <v>16</v>
      </c>
      <c r="U75" s="17">
        <f t="shared" si="3"/>
        <v>0</v>
      </c>
    </row>
    <row r="76" spans="1:21" x14ac:dyDescent="0.3">
      <c r="A76" s="13">
        <v>75</v>
      </c>
      <c r="B76" s="13" t="str">
        <f>+VLOOKUP(A76,'[1]PA 2023'!$A$8:$E$84,5)</f>
        <v>Formular e implementar 1 estrategia comunitaria y familiar para la prevención y erradicación del trabajo infantil en niños, niñas y adolescentes de acuerdo a los lineamientos del Plan Nacional  de Erradicación del trabajo infantil y sus peores formas.</v>
      </c>
      <c r="C76" s="14">
        <v>2021680010003</v>
      </c>
      <c r="D76" s="14" t="str">
        <f>+VLOOKUP(C76,'[1]PA 2023'!$G$8:$H$84,2,FALSE)</f>
        <v>IMPLEMENTACIÓN DE ESTRATEGIAS PSICOPEDAGÓGICAS PARA LA DISMINUCIÓN DE FACTORES DE RIESGO EN NIÑOS, NIÑAS Y ADOLESCENTES EN EL MUNICIPIO DE BUCARAMANGA</v>
      </c>
      <c r="E76" s="13" t="s">
        <v>288</v>
      </c>
      <c r="F76" s="15">
        <v>869</v>
      </c>
      <c r="G76" s="21" t="s">
        <v>43</v>
      </c>
      <c r="H76" s="22" t="s">
        <v>36</v>
      </c>
      <c r="I76" s="13" t="s">
        <v>289</v>
      </c>
      <c r="J76" s="13" t="s">
        <v>212</v>
      </c>
      <c r="K76" s="16">
        <v>44956</v>
      </c>
      <c r="L76" s="17">
        <v>14000000</v>
      </c>
      <c r="M76" s="17">
        <v>14000000</v>
      </c>
      <c r="N76" s="18">
        <f>7000000+3500000+3500000</f>
        <v>14000000</v>
      </c>
      <c r="O76" s="22" t="s">
        <v>290</v>
      </c>
      <c r="Q76" s="13">
        <v>1614</v>
      </c>
      <c r="R76" s="13" t="s">
        <v>164</v>
      </c>
      <c r="S76" s="13" t="s">
        <v>291</v>
      </c>
      <c r="T76" s="13" t="s">
        <v>16</v>
      </c>
      <c r="U76" s="17">
        <f t="shared" si="3"/>
        <v>0</v>
      </c>
    </row>
    <row r="77" spans="1:21" x14ac:dyDescent="0.3">
      <c r="A77" s="13">
        <v>68</v>
      </c>
      <c r="B77" s="13" t="str">
        <f>+VLOOKUP(A77,'[1]PA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77" s="14">
        <v>2021680010003</v>
      </c>
      <c r="D77" s="14" t="str">
        <f>+VLOOKUP(C77,'[1]PA 2023'!$G$8:$H$84,2,FALSE)</f>
        <v>IMPLEMENTACIÓN DE ESTRATEGIAS PSICOPEDAGÓGICAS PARA LA DISMINUCIÓN DE FACTORES DE RIESGO EN NIÑOS, NIÑAS Y ADOLESCENTES EN EL MUNICIPIO DE BUCARAMANGA</v>
      </c>
      <c r="E77" s="13" t="s">
        <v>292</v>
      </c>
      <c r="F77" s="15">
        <v>872</v>
      </c>
      <c r="G77" s="21" t="s">
        <v>43</v>
      </c>
      <c r="H77" s="22" t="s">
        <v>36</v>
      </c>
      <c r="I77" s="13" t="s">
        <v>293</v>
      </c>
      <c r="J77" s="13" t="s">
        <v>212</v>
      </c>
      <c r="K77" s="16">
        <v>44956</v>
      </c>
      <c r="L77" s="17">
        <v>14000000</v>
      </c>
      <c r="M77" s="17">
        <v>14000000</v>
      </c>
      <c r="N77" s="18">
        <f>7000000+3500000+3500000</f>
        <v>14000000</v>
      </c>
      <c r="O77" s="22" t="s">
        <v>294</v>
      </c>
      <c r="Q77" s="13">
        <v>1615</v>
      </c>
      <c r="R77" s="13" t="s">
        <v>164</v>
      </c>
      <c r="S77" s="13" t="s">
        <v>295</v>
      </c>
      <c r="T77" s="13" t="s">
        <v>16</v>
      </c>
      <c r="U77" s="17">
        <f t="shared" si="3"/>
        <v>0</v>
      </c>
    </row>
    <row r="78" spans="1:21" x14ac:dyDescent="0.3">
      <c r="A78" s="13">
        <v>72</v>
      </c>
      <c r="B78" s="13" t="str">
        <f>+VLOOKUP(A78,'[1]PA 2023'!$A$8:$E$84,5)</f>
        <v>Implementar 4 iniciativas que promueva la participación activa de niños y niñas desde la primera infancia en espacios de interés privados y públicos en los que se fortalezcan  habilidades para la vida, preparación para el proyecto de vida y el ejercicio de sus derechos.</v>
      </c>
      <c r="C78" s="14">
        <v>2021680010003</v>
      </c>
      <c r="D78" s="14" t="str">
        <f>+VLOOKUP(C78,'[1]PA 2023'!$G$8:$H$84,2,FALSE)</f>
        <v>IMPLEMENTACIÓN DE ESTRATEGIAS PSICOPEDAGÓGICAS PARA LA DISMINUCIÓN DE FACTORES DE RIESGO EN NIÑOS, NIÑAS Y ADOLESCENTES EN EL MUNICIPIO DE BUCARAMANGA</v>
      </c>
      <c r="E78" s="13" t="s">
        <v>296</v>
      </c>
      <c r="F78" s="15">
        <v>880</v>
      </c>
      <c r="G78" s="21" t="s">
        <v>43</v>
      </c>
      <c r="H78" s="22" t="s">
        <v>36</v>
      </c>
      <c r="I78" s="13" t="s">
        <v>297</v>
      </c>
      <c r="J78" s="13" t="s">
        <v>212</v>
      </c>
      <c r="K78" s="16">
        <v>44956</v>
      </c>
      <c r="L78" s="17">
        <v>12000000</v>
      </c>
      <c r="M78" s="17">
        <v>12000000</v>
      </c>
      <c r="N78" s="18">
        <f>6000000+3000000+3000000</f>
        <v>12000000</v>
      </c>
      <c r="O78" s="22" t="s">
        <v>298</v>
      </c>
      <c r="Q78" s="13">
        <v>1616</v>
      </c>
      <c r="R78" s="13" t="s">
        <v>164</v>
      </c>
      <c r="S78" s="13" t="s">
        <v>299</v>
      </c>
      <c r="T78" s="13" t="s">
        <v>16</v>
      </c>
      <c r="U78" s="17">
        <f t="shared" si="3"/>
        <v>0</v>
      </c>
    </row>
    <row r="79" spans="1:21" x14ac:dyDescent="0.3">
      <c r="A79" s="13">
        <v>80</v>
      </c>
      <c r="B79" s="13" t="str">
        <f>+VLOOKUP(A79,'[1]PA 2023'!$A$8:$E$84,5)</f>
        <v>Brindar 150.000 entradas gratuitas de niñas, niños y adolescentes y sus familias a  eventos artísticos, culturales, lúdicos y recreativos.</v>
      </c>
      <c r="C79" s="14">
        <v>2021680010003</v>
      </c>
      <c r="D79" s="14" t="str">
        <f>+VLOOKUP(C79,'[1]PA 2023'!$G$8:$H$84,2,FALSE)</f>
        <v>IMPLEMENTACIÓN DE ESTRATEGIAS PSICOPEDAGÓGICAS PARA LA DISMINUCIÓN DE FACTORES DE RIESGO EN NIÑOS, NIÑAS Y ADOLESCENTES EN EL MUNICIPIO DE BUCARAMANGA</v>
      </c>
      <c r="E79" s="13" t="s">
        <v>300</v>
      </c>
      <c r="F79" s="15">
        <v>871</v>
      </c>
      <c r="G79" s="21" t="s">
        <v>43</v>
      </c>
      <c r="H79" s="22" t="s">
        <v>36</v>
      </c>
      <c r="I79" s="13" t="s">
        <v>301</v>
      </c>
      <c r="J79" s="13" t="s">
        <v>212</v>
      </c>
      <c r="K79" s="16">
        <v>44956</v>
      </c>
      <c r="L79" s="17">
        <v>14000000</v>
      </c>
      <c r="M79" s="17">
        <v>14000000</v>
      </c>
      <c r="N79" s="18">
        <f>7000000+3500000</f>
        <v>10500000</v>
      </c>
      <c r="O79" s="22" t="s">
        <v>302</v>
      </c>
      <c r="Q79" s="13">
        <v>1617</v>
      </c>
      <c r="R79" s="23" t="s">
        <v>164</v>
      </c>
      <c r="S79" s="13" t="s">
        <v>303</v>
      </c>
      <c r="T79" s="13" t="s">
        <v>16</v>
      </c>
      <c r="U79" s="17">
        <f>+M79-N79+M486</f>
        <v>4370000</v>
      </c>
    </row>
    <row r="80" spans="1:21" x14ac:dyDescent="0.3">
      <c r="A80" s="13">
        <v>73</v>
      </c>
      <c r="B80" s="13" t="str">
        <f>+VLOOKUP(A80,'[1]PA 2023'!$A$8:$E$84,5)</f>
        <v>Formular e implementar 1 programa para el reconocimiento de la construcción de la identidad de niños y niñas con una perspectiva de género dirigido a padres/madres y educadores.</v>
      </c>
      <c r="C80" s="14">
        <v>2021680010003</v>
      </c>
      <c r="D80" s="14" t="str">
        <f>+VLOOKUP(C80,'[1]PA 2023'!$G$8:$H$84,2,FALSE)</f>
        <v>IMPLEMENTACIÓN DE ESTRATEGIAS PSICOPEDAGÓGICAS PARA LA DISMINUCIÓN DE FACTORES DE RIESGO EN NIÑOS, NIÑAS Y ADOLESCENTES EN EL MUNICIPIO DE BUCARAMANGA</v>
      </c>
      <c r="E80" s="13" t="s">
        <v>304</v>
      </c>
      <c r="F80" s="15">
        <v>873</v>
      </c>
      <c r="G80" s="21" t="s">
        <v>43</v>
      </c>
      <c r="H80" s="22" t="s">
        <v>36</v>
      </c>
      <c r="I80" s="13" t="s">
        <v>305</v>
      </c>
      <c r="J80" s="13" t="s">
        <v>212</v>
      </c>
      <c r="K80" s="16">
        <v>44956</v>
      </c>
      <c r="L80" s="17">
        <v>14000000</v>
      </c>
      <c r="M80" s="17">
        <v>14000000</v>
      </c>
      <c r="N80" s="18">
        <f>7000000+3500000+3500000</f>
        <v>14000000</v>
      </c>
      <c r="O80" s="22" t="s">
        <v>306</v>
      </c>
      <c r="Q80" s="13">
        <v>1618</v>
      </c>
      <c r="R80" s="13" t="s">
        <v>164</v>
      </c>
      <c r="S80" s="13" t="s">
        <v>307</v>
      </c>
      <c r="T80" s="13" t="s">
        <v>16</v>
      </c>
      <c r="U80" s="17">
        <f t="shared" ref="U80:U96" si="4">+M80-N80</f>
        <v>0</v>
      </c>
    </row>
    <row r="81" spans="1:21" x14ac:dyDescent="0.3">
      <c r="A81" s="13">
        <v>117</v>
      </c>
      <c r="B81" s="13" t="str">
        <f>+VLOOKUP(A81,'[1]PA 2023'!$A$8:$E$84,5)</f>
        <v>Formular e implementar 1 estrategia de orientación ocupacional, aprovechamiento del tiempo libre, formación y esparcimiento cultural y actividades que mejoren la calidad de vida dirigidas a personas con discapacidad.</v>
      </c>
      <c r="C81" s="14">
        <v>2020680010121</v>
      </c>
      <c r="D81" s="14" t="str">
        <f>+VLOOKUP(C81,'[1]PA 2023'!$G$8:$H$84,2,FALSE)</f>
        <v>APOYO A LA OPERATIVIDAD DE LOS PROGRAMAS DE ATENCIÓN INTEGRAL A LAS PERSONAS CON DISCAPACIDAD. FAMILIARES Y/O CUIDADORES DEL MUNICIPIO DE BUCARAMANGA</v>
      </c>
      <c r="E81" s="13" t="s">
        <v>308</v>
      </c>
      <c r="F81" s="15">
        <v>853</v>
      </c>
      <c r="G81" s="21" t="s">
        <v>43</v>
      </c>
      <c r="H81" s="22" t="s">
        <v>36</v>
      </c>
      <c r="I81" s="13" t="s">
        <v>309</v>
      </c>
      <c r="J81" s="13" t="s">
        <v>207</v>
      </c>
      <c r="K81" s="16">
        <v>44956</v>
      </c>
      <c r="L81" s="17">
        <v>22000000</v>
      </c>
      <c r="M81" s="17">
        <v>22000000</v>
      </c>
      <c r="N81" s="18">
        <f>11000000+5500000+5500000</f>
        <v>22000000</v>
      </c>
      <c r="O81" s="22" t="s">
        <v>310</v>
      </c>
      <c r="Q81" s="13">
        <v>1619</v>
      </c>
      <c r="R81" s="13" t="s">
        <v>193</v>
      </c>
      <c r="S81" s="13" t="s">
        <v>311</v>
      </c>
      <c r="T81" s="13" t="s">
        <v>16</v>
      </c>
      <c r="U81" s="17">
        <f t="shared" si="4"/>
        <v>0</v>
      </c>
    </row>
    <row r="82" spans="1:21" x14ac:dyDescent="0.3">
      <c r="A82" s="13">
        <v>71</v>
      </c>
      <c r="B82" s="13" t="str">
        <f>+VLOOKUP(A82,'[1]PA 2023'!$A$8:$E$84,5)</f>
        <v>Formular e implementar 1 estrategia de corresponsabilidad en la garantía de derechos, la prevención de vulneración, amenaza o riesgo en el ámbito familiar, comunitario e institucional.</v>
      </c>
      <c r="C82" s="14">
        <v>2022680010056</v>
      </c>
      <c r="D82" s="14" t="str">
        <f>+VLOOKUP(C82,'[1]PA 2023'!$G$8:$H$84,2,FALSE)</f>
        <v>APOYO EN LOS PROCESOS DE ATENCIÓN INTEGRAL DE LOS NIÑOS Y NIÑAS EN EL ESPACIO DE CUIDADO Y ALBERGUE "CASA BÚHO" EN EL MUNICIPIO DE BUCARAMANGA</v>
      </c>
      <c r="E82" s="13" t="s">
        <v>234</v>
      </c>
      <c r="F82" s="15">
        <v>891</v>
      </c>
      <c r="G82" s="21" t="s">
        <v>43</v>
      </c>
      <c r="H82" s="22" t="s">
        <v>36</v>
      </c>
      <c r="I82" s="13" t="s">
        <v>312</v>
      </c>
      <c r="J82" s="13" t="s">
        <v>168</v>
      </c>
      <c r="K82" s="16">
        <v>44956</v>
      </c>
      <c r="L82" s="17">
        <v>12000000</v>
      </c>
      <c r="M82" s="17">
        <v>12000000</v>
      </c>
      <c r="N82" s="18">
        <f>6000000+3000000+3000000</f>
        <v>12000000</v>
      </c>
      <c r="O82" s="22" t="s">
        <v>313</v>
      </c>
      <c r="Q82" s="13">
        <v>1622</v>
      </c>
      <c r="R82" s="13" t="s">
        <v>170</v>
      </c>
      <c r="S82" s="13" t="s">
        <v>314</v>
      </c>
      <c r="T82" s="13" t="s">
        <v>16</v>
      </c>
      <c r="U82" s="17">
        <f t="shared" si="4"/>
        <v>0</v>
      </c>
    </row>
    <row r="83" spans="1:21" x14ac:dyDescent="0.3">
      <c r="A83" s="13">
        <v>78</v>
      </c>
      <c r="B83" s="13" t="str">
        <f>+VLOOKUP(A83,'[1]PA 2023'!$A$8:$E$84,5)</f>
        <v>Formular e implementar 1 ruta de atención integral para niños, niñas, adolescentes refugiados y migrantes y sus familias.</v>
      </c>
      <c r="C83" s="14">
        <v>2022680010056</v>
      </c>
      <c r="D83" s="14" t="str">
        <f>+VLOOKUP(C83,'[1]PA 2023'!$G$8:$H$84,2,FALSE)</f>
        <v>APOYO EN LOS PROCESOS DE ATENCIÓN INTEGRAL DE LOS NIÑOS Y NIÑAS EN EL ESPACIO DE CUIDADO Y ALBERGUE "CASA BÚHO" EN EL MUNICIPIO DE BUCARAMANGA</v>
      </c>
      <c r="E83" s="13" t="s">
        <v>315</v>
      </c>
      <c r="F83" s="15">
        <v>877</v>
      </c>
      <c r="G83" s="21" t="s">
        <v>43</v>
      </c>
      <c r="H83" s="22" t="s">
        <v>36</v>
      </c>
      <c r="I83" s="13" t="s">
        <v>316</v>
      </c>
      <c r="J83" s="13" t="s">
        <v>168</v>
      </c>
      <c r="K83" s="16">
        <v>44956</v>
      </c>
      <c r="L83" s="17">
        <v>12000000</v>
      </c>
      <c r="M83" s="17">
        <v>12000000</v>
      </c>
      <c r="N83" s="18">
        <f>6000000+3000000+3000000</f>
        <v>12000000</v>
      </c>
      <c r="O83" s="22" t="s">
        <v>317</v>
      </c>
      <c r="Q83" s="13">
        <v>1623</v>
      </c>
      <c r="R83" s="13" t="s">
        <v>170</v>
      </c>
      <c r="S83" s="13" t="s">
        <v>318</v>
      </c>
      <c r="T83" s="13" t="s">
        <v>16</v>
      </c>
      <c r="U83" s="17">
        <f t="shared" si="4"/>
        <v>0</v>
      </c>
    </row>
    <row r="84" spans="1:21" x14ac:dyDescent="0.3">
      <c r="A84" s="13">
        <v>71</v>
      </c>
      <c r="B84" s="13" t="str">
        <f>+VLOOKUP(A84,'[1]PA 2023'!$A$8:$E$84,5)</f>
        <v>Formular e implementar 1 estrategia de corresponsabilidad en la garantía de derechos, la prevención de vulneración, amenaza o riesgo en el ámbito familiar, comunitario e institucional.</v>
      </c>
      <c r="C84" s="14">
        <v>2022680010056</v>
      </c>
      <c r="D84" s="14" t="str">
        <f>+VLOOKUP(C84,'[1]PA 2023'!$G$8:$H$84,2,FALSE)</f>
        <v>APOYO EN LOS PROCESOS DE ATENCIÓN INTEGRAL DE LOS NIÑOS Y NIÑAS EN EL ESPACIO DE CUIDADO Y ALBERGUE "CASA BÚHO" EN EL MUNICIPIO DE BUCARAMANGA</v>
      </c>
      <c r="E84" s="13" t="s">
        <v>270</v>
      </c>
      <c r="F84" s="15">
        <v>890</v>
      </c>
      <c r="G84" s="21" t="s">
        <v>43</v>
      </c>
      <c r="H84" s="22" t="s">
        <v>36</v>
      </c>
      <c r="I84" s="13" t="s">
        <v>319</v>
      </c>
      <c r="J84" s="13" t="s">
        <v>168</v>
      </c>
      <c r="K84" s="16">
        <v>44956</v>
      </c>
      <c r="L84" s="17">
        <v>12000000</v>
      </c>
      <c r="M84" s="17">
        <v>12000000</v>
      </c>
      <c r="N84" s="18">
        <f>6000000+3000000+3000000</f>
        <v>12000000</v>
      </c>
      <c r="O84" s="22" t="s">
        <v>320</v>
      </c>
      <c r="Q84" s="13">
        <v>1624</v>
      </c>
      <c r="R84" s="13" t="s">
        <v>170</v>
      </c>
      <c r="S84" s="13" t="s">
        <v>321</v>
      </c>
      <c r="T84" s="13" t="s">
        <v>16</v>
      </c>
      <c r="U84" s="17">
        <f t="shared" si="4"/>
        <v>0</v>
      </c>
    </row>
    <row r="85" spans="1:21" x14ac:dyDescent="0.3">
      <c r="A85" s="13">
        <v>74</v>
      </c>
      <c r="B85" s="13" t="str">
        <f>+VLOOKUP(A85,'[1]PA 2023'!$A$8:$E$84,5)</f>
        <v>Formular e implementar 1 estrategia para el fomento de prácticas de autoprotección y cuidado en niños y niñas para la prevención de conductas de riesgo (consumo de SPA, acciones delictivas, abandono familiar y escolar).</v>
      </c>
      <c r="C85" s="14">
        <v>2021680010003</v>
      </c>
      <c r="D85" s="14" t="str">
        <f>+VLOOKUP(C85,'[1]PA 2023'!$G$8:$H$84,2,FALSE)</f>
        <v>IMPLEMENTACIÓN DE ESTRATEGIAS PSICOPEDAGÓGICAS PARA LA DISMINUCIÓN DE FACTORES DE RIESGO EN NIÑOS, NIÑAS Y ADOLESCENTES EN EL MUNICIPIO DE BUCARAMANGA</v>
      </c>
      <c r="E85" s="13" t="s">
        <v>322</v>
      </c>
      <c r="F85" s="15">
        <v>844</v>
      </c>
      <c r="G85" s="21" t="s">
        <v>43</v>
      </c>
      <c r="H85" s="22" t="s">
        <v>36</v>
      </c>
      <c r="I85" s="13" t="s">
        <v>323</v>
      </c>
      <c r="J85" s="13" t="s">
        <v>212</v>
      </c>
      <c r="K85" s="16">
        <v>44957</v>
      </c>
      <c r="L85" s="17">
        <v>11200000</v>
      </c>
      <c r="M85" s="17">
        <v>11200000</v>
      </c>
      <c r="N85" s="18">
        <f>5600000+2800000+2800000</f>
        <v>11200000</v>
      </c>
      <c r="O85" s="22" t="s">
        <v>324</v>
      </c>
      <c r="Q85" s="13">
        <v>1630</v>
      </c>
      <c r="R85" s="13" t="s">
        <v>164</v>
      </c>
      <c r="S85" s="13" t="s">
        <v>325</v>
      </c>
      <c r="T85" s="13" t="s">
        <v>16</v>
      </c>
      <c r="U85" s="17">
        <f t="shared" si="4"/>
        <v>0</v>
      </c>
    </row>
    <row r="86" spans="1:21" x14ac:dyDescent="0.3">
      <c r="A86" s="13">
        <v>68</v>
      </c>
      <c r="B86" s="13" t="str">
        <f>+VLOOKUP(A86,'[1]PA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86" s="14">
        <v>2021680010003</v>
      </c>
      <c r="D86" s="14" t="str">
        <f>+VLOOKUP(C86,'[1]PA 2023'!$G$8:$H$84,2,FALSE)</f>
        <v>IMPLEMENTACIÓN DE ESTRATEGIAS PSICOPEDAGÓGICAS PARA LA DISMINUCIÓN DE FACTORES DE RIESGO EN NIÑOS, NIÑAS Y ADOLESCENTES EN EL MUNICIPIO DE BUCARAMANGA</v>
      </c>
      <c r="E86" s="13" t="s">
        <v>326</v>
      </c>
      <c r="F86" s="15">
        <v>858</v>
      </c>
      <c r="G86" s="21" t="s">
        <v>35</v>
      </c>
      <c r="H86" s="22" t="s">
        <v>36</v>
      </c>
      <c r="I86" s="13" t="s">
        <v>327</v>
      </c>
      <c r="J86" s="13" t="s">
        <v>212</v>
      </c>
      <c r="K86" s="16">
        <v>44957</v>
      </c>
      <c r="L86" s="17">
        <v>8800000</v>
      </c>
      <c r="M86" s="17">
        <v>8800000</v>
      </c>
      <c r="N86" s="18">
        <f>4400000+2200000+2200000</f>
        <v>8800000</v>
      </c>
      <c r="O86" s="22" t="s">
        <v>328</v>
      </c>
      <c r="Q86" s="13">
        <v>1631</v>
      </c>
      <c r="R86" s="13" t="s">
        <v>164</v>
      </c>
      <c r="S86" s="13" t="s">
        <v>329</v>
      </c>
      <c r="T86" s="13" t="s">
        <v>16</v>
      </c>
      <c r="U86" s="17">
        <f t="shared" si="4"/>
        <v>0</v>
      </c>
    </row>
    <row r="87" spans="1:21" x14ac:dyDescent="0.3">
      <c r="A87" s="13">
        <v>71</v>
      </c>
      <c r="B87" s="13" t="str">
        <f>+VLOOKUP(A87,'[1]PA 2023'!$A$8:$E$84,5)</f>
        <v>Formular e implementar 1 estrategia de corresponsabilidad en la garantía de derechos, la prevención de vulneración, amenaza o riesgo en el ámbito familiar, comunitario e institucional.</v>
      </c>
      <c r="C87" s="14">
        <v>2022680010056</v>
      </c>
      <c r="D87" s="14" t="str">
        <f>+VLOOKUP(C87,'[1]PA 2023'!$G$8:$H$84,2,FALSE)</f>
        <v>APOYO EN LOS PROCESOS DE ATENCIÓN INTEGRAL DE LOS NIÑOS Y NIÑAS EN EL ESPACIO DE CUIDADO Y ALBERGUE "CASA BÚHO" EN EL MUNICIPIO DE BUCARAMANGA</v>
      </c>
      <c r="E87" s="13" t="s">
        <v>330</v>
      </c>
      <c r="F87" s="15">
        <v>879</v>
      </c>
      <c r="G87" s="21" t="s">
        <v>35</v>
      </c>
      <c r="H87" s="22" t="s">
        <v>36</v>
      </c>
      <c r="I87" s="13" t="s">
        <v>331</v>
      </c>
      <c r="J87" s="13" t="s">
        <v>168</v>
      </c>
      <c r="K87" s="16">
        <v>44957</v>
      </c>
      <c r="L87" s="17">
        <v>8800000</v>
      </c>
      <c r="M87" s="17">
        <v>8800000</v>
      </c>
      <c r="N87" s="18">
        <f>4400000+2200000+2200000</f>
        <v>8800000</v>
      </c>
      <c r="O87" s="22" t="s">
        <v>332</v>
      </c>
      <c r="Q87" s="13">
        <v>1635</v>
      </c>
      <c r="R87" s="13" t="s">
        <v>170</v>
      </c>
      <c r="S87" s="13" t="s">
        <v>333</v>
      </c>
      <c r="T87" s="13" t="s">
        <v>16</v>
      </c>
      <c r="U87" s="17">
        <f t="shared" si="4"/>
        <v>0</v>
      </c>
    </row>
    <row r="88" spans="1:21" x14ac:dyDescent="0.3">
      <c r="A88" s="13">
        <v>71</v>
      </c>
      <c r="B88" s="13" t="str">
        <f>+VLOOKUP(A88,'[1]PA 2023'!$A$8:$E$84,5)</f>
        <v>Formular e implementar 1 estrategia de corresponsabilidad en la garantía de derechos, la prevención de vulneración, amenaza o riesgo en el ámbito familiar, comunitario e institucional.</v>
      </c>
      <c r="C88" s="14">
        <v>2022680010056</v>
      </c>
      <c r="D88" s="14" t="str">
        <f>+VLOOKUP(C88,'[1]PA 2023'!$G$8:$H$84,2,FALSE)</f>
        <v>APOYO EN LOS PROCESOS DE ATENCIÓN INTEGRAL DE LOS NIÑOS Y NIÑAS EN EL ESPACIO DE CUIDADO Y ALBERGUE "CASA BÚHO" EN EL MUNICIPIO DE BUCARAMANGA</v>
      </c>
      <c r="E88" s="13" t="s">
        <v>334</v>
      </c>
      <c r="F88" s="15">
        <v>900</v>
      </c>
      <c r="G88" s="21" t="s">
        <v>43</v>
      </c>
      <c r="H88" s="22" t="s">
        <v>36</v>
      </c>
      <c r="I88" s="13" t="s">
        <v>335</v>
      </c>
      <c r="J88" s="13" t="s">
        <v>168</v>
      </c>
      <c r="K88" s="16">
        <v>44957</v>
      </c>
      <c r="L88" s="17">
        <v>12000000</v>
      </c>
      <c r="M88" s="17">
        <v>12000000</v>
      </c>
      <c r="N88" s="18">
        <f>6000000+3000000+3000000</f>
        <v>12000000</v>
      </c>
      <c r="O88" s="22" t="s">
        <v>336</v>
      </c>
      <c r="Q88" s="13">
        <v>1643</v>
      </c>
      <c r="R88" s="13" t="s">
        <v>170</v>
      </c>
      <c r="S88" s="13" t="s">
        <v>337</v>
      </c>
      <c r="T88" s="13" t="s">
        <v>16</v>
      </c>
      <c r="U88" s="17">
        <f t="shared" si="4"/>
        <v>0</v>
      </c>
    </row>
    <row r="89" spans="1:21" x14ac:dyDescent="0.3">
      <c r="A89" s="13">
        <v>115</v>
      </c>
      <c r="B89" s="13" t="str">
        <f>+VLOOKUP(A89,'[1]PA 2023'!$A$8:$E$84,5)</f>
        <v>Garantizar y mantener la atención integral en procesos de habilitación y rehabilitación a 250 niñas, niños y adolescentes con discapacidad del sector urbano y rural en extrema vulnerabilidad.</v>
      </c>
      <c r="C89" s="14">
        <v>2020680010121</v>
      </c>
      <c r="D89" s="14" t="str">
        <f>+VLOOKUP(C89,'[1]PA 2023'!$G$8:$H$84,2,FALSE)</f>
        <v>APOYO A LA OPERATIVIDAD DE LOS PROGRAMAS DE ATENCIÓN INTEGRAL A LAS PERSONAS CON DISCAPACIDAD. FAMILIARES Y/O CUIDADORES DEL MUNICIPIO DE BUCARAMANGA</v>
      </c>
      <c r="E89" s="13" t="s">
        <v>338</v>
      </c>
      <c r="F89" s="15">
        <v>905</v>
      </c>
      <c r="G89" s="21" t="s">
        <v>43</v>
      </c>
      <c r="H89" s="22" t="s">
        <v>36</v>
      </c>
      <c r="I89" s="13" t="s">
        <v>339</v>
      </c>
      <c r="J89" s="13" t="s">
        <v>207</v>
      </c>
      <c r="K89" s="16">
        <v>44957</v>
      </c>
      <c r="L89" s="17">
        <v>12800000</v>
      </c>
      <c r="M89" s="17">
        <v>12800000</v>
      </c>
      <c r="N89" s="18">
        <f>6400000+3200000+3200000</f>
        <v>12800000</v>
      </c>
      <c r="O89" s="22" t="s">
        <v>340</v>
      </c>
      <c r="Q89" s="13">
        <v>1644</v>
      </c>
      <c r="R89" s="13" t="s">
        <v>193</v>
      </c>
      <c r="S89" s="13" t="s">
        <v>341</v>
      </c>
      <c r="T89" s="13" t="s">
        <v>16</v>
      </c>
      <c r="U89" s="17">
        <f t="shared" si="4"/>
        <v>0</v>
      </c>
    </row>
    <row r="90" spans="1:21" x14ac:dyDescent="0.3">
      <c r="A90" s="13">
        <v>74</v>
      </c>
      <c r="B90" s="13" t="str">
        <f>+VLOOKUP(A90,'[1]PA 2023'!$A$8:$E$84,5)</f>
        <v>Formular e implementar 1 estrategia para el fomento de prácticas de autoprotección y cuidado en niños y niñas para la prevención de conductas de riesgo (consumo de SPA, acciones delictivas, abandono familiar y escolar).</v>
      </c>
      <c r="C90" s="14">
        <v>2021680010003</v>
      </c>
      <c r="D90" s="14" t="str">
        <f>+VLOOKUP(C90,'[1]PA 2023'!$G$8:$H$84,2,FALSE)</f>
        <v>IMPLEMENTACIÓN DE ESTRATEGIAS PSICOPEDAGÓGICAS PARA LA DISMINUCIÓN DE FACTORES DE RIESGO EN NIÑOS, NIÑAS Y ADOLESCENTES EN EL MUNICIPIO DE BUCARAMANGA</v>
      </c>
      <c r="E90" s="13" t="s">
        <v>342</v>
      </c>
      <c r="F90" s="15">
        <v>887</v>
      </c>
      <c r="G90" s="21" t="s">
        <v>43</v>
      </c>
      <c r="H90" s="22" t="s">
        <v>36</v>
      </c>
      <c r="I90" s="13" t="s">
        <v>343</v>
      </c>
      <c r="J90" s="13" t="s">
        <v>212</v>
      </c>
      <c r="K90" s="16">
        <v>44957</v>
      </c>
      <c r="L90" s="17">
        <v>14000000</v>
      </c>
      <c r="M90" s="17">
        <v>14000000</v>
      </c>
      <c r="N90" s="18">
        <f>7000000+3500000+3500000</f>
        <v>14000000</v>
      </c>
      <c r="O90" s="22" t="s">
        <v>344</v>
      </c>
      <c r="Q90" s="13">
        <v>1645</v>
      </c>
      <c r="R90" s="13" t="s">
        <v>164</v>
      </c>
      <c r="S90" s="13" t="s">
        <v>345</v>
      </c>
      <c r="T90" s="13" t="s">
        <v>16</v>
      </c>
      <c r="U90" s="17">
        <f t="shared" si="4"/>
        <v>0</v>
      </c>
    </row>
    <row r="91" spans="1:21" x14ac:dyDescent="0.3">
      <c r="A91" s="13">
        <v>300</v>
      </c>
      <c r="B91" s="13" t="str">
        <f>+VLOOKUP(A91,'[1]PA 2023'!$A$8:$E$84,5)</f>
        <v>Mantener el 100% de los programas que desarrolla la Administración Central.</v>
      </c>
      <c r="C91" s="14">
        <v>2020680010025</v>
      </c>
      <c r="D91" s="14" t="str">
        <f>+VLOOKUP(C91,'[1]PA 2023'!$G$8:$H$84,2,FALSE)</f>
        <v>MEJORAMIENTO DE LOS PROCESOS TRANSVERSALES PARA UNA ADMINISTRACIÓN PUBLICA MODERNA Y EFICIENTE EN LA SECRETARÍA DE DESARROLLO SOCIAL DEL MUNICIPIO BUCARAMANGA</v>
      </c>
      <c r="E91" s="13" t="s">
        <v>346</v>
      </c>
      <c r="F91" s="15">
        <v>904</v>
      </c>
      <c r="G91" s="21" t="s">
        <v>35</v>
      </c>
      <c r="H91" s="22" t="s">
        <v>36</v>
      </c>
      <c r="I91" s="13" t="s">
        <v>347</v>
      </c>
      <c r="J91" s="13" t="s">
        <v>38</v>
      </c>
      <c r="K91" s="16">
        <v>44957</v>
      </c>
      <c r="L91" s="17">
        <v>8000000</v>
      </c>
      <c r="M91" s="17">
        <v>8000000</v>
      </c>
      <c r="N91" s="18">
        <f>4000000+2000000+2000000</f>
        <v>8000000</v>
      </c>
      <c r="O91" s="22" t="s">
        <v>348</v>
      </c>
      <c r="Q91" s="13">
        <v>1646</v>
      </c>
      <c r="R91" s="13" t="s">
        <v>40</v>
      </c>
      <c r="S91" s="13" t="s">
        <v>349</v>
      </c>
      <c r="T91" s="13" t="s">
        <v>16</v>
      </c>
      <c r="U91" s="17">
        <f t="shared" si="4"/>
        <v>0</v>
      </c>
    </row>
    <row r="92" spans="1:21" x14ac:dyDescent="0.3">
      <c r="A92" s="13">
        <v>300</v>
      </c>
      <c r="B92" s="13" t="str">
        <f>+VLOOKUP(A92,'[1]PA 2023'!$A$8:$E$84,5)</f>
        <v>Mantener el 100% de los programas que desarrolla la Administración Central.</v>
      </c>
      <c r="C92" s="14">
        <v>2020680010025</v>
      </c>
      <c r="D92" s="14" t="str">
        <f>+VLOOKUP(C92,'[1]PA 2023'!$G$8:$H$84,2,FALSE)</f>
        <v>MEJORAMIENTO DE LOS PROCESOS TRANSVERSALES PARA UNA ADMINISTRACIÓN PUBLICA MODERNA Y EFICIENTE EN LA SECRETARÍA DE DESARROLLO SOCIAL DEL MUNICIPIO BUCARAMANGA</v>
      </c>
      <c r="E92" s="13" t="s">
        <v>350</v>
      </c>
      <c r="F92" s="15">
        <v>898</v>
      </c>
      <c r="G92" s="21" t="s">
        <v>43</v>
      </c>
      <c r="H92" s="22" t="s">
        <v>36</v>
      </c>
      <c r="I92" s="13" t="s">
        <v>351</v>
      </c>
      <c r="J92" s="13" t="s">
        <v>38</v>
      </c>
      <c r="K92" s="16">
        <v>44957</v>
      </c>
      <c r="L92" s="17">
        <v>28000000</v>
      </c>
      <c r="M92" s="17">
        <v>28000000</v>
      </c>
      <c r="N92" s="18">
        <f>14000000+7000000+7000000</f>
        <v>28000000</v>
      </c>
      <c r="O92" s="22" t="s">
        <v>352</v>
      </c>
      <c r="Q92" s="13">
        <v>1647</v>
      </c>
      <c r="R92" s="13" t="s">
        <v>40</v>
      </c>
      <c r="S92" s="13" t="s">
        <v>353</v>
      </c>
      <c r="T92" s="13" t="s">
        <v>16</v>
      </c>
      <c r="U92" s="17">
        <f t="shared" si="4"/>
        <v>0</v>
      </c>
    </row>
    <row r="93" spans="1:21" x14ac:dyDescent="0.3">
      <c r="A93" s="13">
        <v>119</v>
      </c>
      <c r="B93" s="13" t="str">
        <f>+VLOOKUP(A93,'[1]PA 2023'!$A$8:$E$84,5)</f>
        <v>Implementar 1 estrategia de apoyo técnico y jurídico para las solicitudes de ayudas técnicas requeridas por personas vulnerables en condición de discapacidad.</v>
      </c>
      <c r="C93" s="14">
        <v>2020680010121</v>
      </c>
      <c r="D93" s="14" t="str">
        <f>+VLOOKUP(C93,'[1]PA 2023'!$G$8:$H$84,2,FALSE)</f>
        <v>APOYO A LA OPERATIVIDAD DE LOS PROGRAMAS DE ATENCIÓN INTEGRAL A LAS PERSONAS CON DISCAPACIDAD. FAMILIARES Y/O CUIDADORES DEL MUNICIPIO DE BUCARAMANGA</v>
      </c>
      <c r="E93" s="13" t="s">
        <v>354</v>
      </c>
      <c r="F93" s="15">
        <v>856</v>
      </c>
      <c r="G93" s="21" t="s">
        <v>43</v>
      </c>
      <c r="H93" s="22" t="s">
        <v>36</v>
      </c>
      <c r="I93" s="13" t="s">
        <v>355</v>
      </c>
      <c r="J93" s="13" t="s">
        <v>207</v>
      </c>
      <c r="K93" s="16">
        <v>44957</v>
      </c>
      <c r="L93" s="17">
        <v>16000000</v>
      </c>
      <c r="M93" s="17">
        <v>16000000</v>
      </c>
      <c r="N93" s="18">
        <f>8000000+4000000+4000000</f>
        <v>16000000</v>
      </c>
      <c r="O93" s="22" t="s">
        <v>356</v>
      </c>
      <c r="Q93" s="13">
        <v>1649</v>
      </c>
      <c r="R93" s="13" t="s">
        <v>193</v>
      </c>
      <c r="S93" s="13" t="s">
        <v>357</v>
      </c>
      <c r="T93" s="13" t="s">
        <v>16</v>
      </c>
      <c r="U93" s="17">
        <f t="shared" si="4"/>
        <v>0</v>
      </c>
    </row>
    <row r="94" spans="1:21" x14ac:dyDescent="0.3">
      <c r="A94" s="13">
        <v>300</v>
      </c>
      <c r="B94" s="13" t="str">
        <f>+VLOOKUP(A94,'[1]PA 2023'!$A$8:$E$84,5)</f>
        <v>Mantener el 100% de los programas que desarrolla la Administración Central.</v>
      </c>
      <c r="C94" s="14">
        <v>2020680010025</v>
      </c>
      <c r="D94" s="14" t="str">
        <f>+VLOOKUP(C94,'[1]PA 2023'!$G$8:$H$84,2,FALSE)</f>
        <v>MEJORAMIENTO DE LOS PROCESOS TRANSVERSALES PARA UNA ADMINISTRACIÓN PUBLICA MODERNA Y EFICIENTE EN LA SECRETARÍA DE DESARROLLO SOCIAL DEL MUNICIPIO BUCARAMANGA</v>
      </c>
      <c r="E94" s="13" t="s">
        <v>358</v>
      </c>
      <c r="F94" s="15">
        <v>885</v>
      </c>
      <c r="G94" s="21" t="s">
        <v>35</v>
      </c>
      <c r="H94" s="22" t="s">
        <v>36</v>
      </c>
      <c r="I94" s="13" t="s">
        <v>359</v>
      </c>
      <c r="J94" s="13" t="s">
        <v>38</v>
      </c>
      <c r="K94" s="16">
        <v>44957</v>
      </c>
      <c r="L94" s="17">
        <v>8800000</v>
      </c>
      <c r="M94" s="17">
        <v>8800000</v>
      </c>
      <c r="N94" s="18">
        <f>4400000+2200000+2200000</f>
        <v>8800000</v>
      </c>
      <c r="O94" s="22" t="s">
        <v>360</v>
      </c>
      <c r="Q94" s="13">
        <v>1662</v>
      </c>
      <c r="R94" s="13" t="s">
        <v>40</v>
      </c>
      <c r="S94" s="13" t="s">
        <v>361</v>
      </c>
      <c r="T94" s="13" t="s">
        <v>16</v>
      </c>
      <c r="U94" s="17">
        <f t="shared" si="4"/>
        <v>0</v>
      </c>
    </row>
    <row r="95" spans="1:21" x14ac:dyDescent="0.3">
      <c r="A95" s="13">
        <v>68</v>
      </c>
      <c r="B95" s="13" t="str">
        <f>+VLOOKUP(A95,'[1]PA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95" s="14">
        <v>2022680010056</v>
      </c>
      <c r="D95" s="14" t="str">
        <f>+VLOOKUP(C95,'[1]PA 2023'!$G$8:$H$84,2,FALSE)</f>
        <v>APOYO EN LOS PROCESOS DE ATENCIÓN INTEGRAL DE LOS NIÑOS Y NIÑAS EN EL ESPACIO DE CUIDADO Y ALBERGUE "CASA BÚHO" EN EL MUNICIPIO DE BUCARAMANGA</v>
      </c>
      <c r="E95" s="13" t="s">
        <v>362</v>
      </c>
      <c r="F95" s="15">
        <v>895</v>
      </c>
      <c r="G95" s="21" t="s">
        <v>43</v>
      </c>
      <c r="H95" s="22" t="s">
        <v>36</v>
      </c>
      <c r="I95" s="13" t="s">
        <v>363</v>
      </c>
      <c r="J95" s="13" t="s">
        <v>168</v>
      </c>
      <c r="K95" s="16">
        <v>44957</v>
      </c>
      <c r="L95" s="17">
        <v>12000000</v>
      </c>
      <c r="M95" s="17">
        <v>12000000</v>
      </c>
      <c r="N95" s="18">
        <f>6000000+3000000+3000000</f>
        <v>12000000</v>
      </c>
      <c r="O95" s="22" t="s">
        <v>364</v>
      </c>
      <c r="Q95" s="13">
        <v>1666</v>
      </c>
      <c r="R95" s="13" t="s">
        <v>170</v>
      </c>
      <c r="S95" s="13" t="s">
        <v>365</v>
      </c>
      <c r="T95" s="13" t="s">
        <v>16</v>
      </c>
      <c r="U95" s="17">
        <f t="shared" si="4"/>
        <v>0</v>
      </c>
    </row>
    <row r="96" spans="1:21" x14ac:dyDescent="0.3">
      <c r="A96" s="13">
        <v>78</v>
      </c>
      <c r="B96" s="13" t="str">
        <f>+VLOOKUP(A96,'[1]PA 2023'!$A$8:$E$84,5)</f>
        <v>Formular e implementar 1 ruta de atención integral para niños, niñas, adolescentes refugiados y migrantes y sus familias.</v>
      </c>
      <c r="C96" s="14">
        <v>2022680010056</v>
      </c>
      <c r="D96" s="14" t="str">
        <f>+VLOOKUP(C96,'[1]PA 2023'!$G$8:$H$84,2,FALSE)</f>
        <v>APOYO EN LOS PROCESOS DE ATENCIÓN INTEGRAL DE LOS NIÑOS Y NIÑAS EN EL ESPACIO DE CUIDADO Y ALBERGUE "CASA BÚHO" EN EL MUNICIPIO DE BUCARAMANGA</v>
      </c>
      <c r="E96" s="13" t="s">
        <v>366</v>
      </c>
      <c r="F96" s="15">
        <v>875</v>
      </c>
      <c r="G96" s="21" t="s">
        <v>35</v>
      </c>
      <c r="H96" s="22" t="s">
        <v>36</v>
      </c>
      <c r="I96" s="13" t="s">
        <v>367</v>
      </c>
      <c r="J96" s="13" t="s">
        <v>168</v>
      </c>
      <c r="K96" s="16">
        <v>44957</v>
      </c>
      <c r="L96" s="17">
        <v>8800000</v>
      </c>
      <c r="M96" s="17">
        <v>8800000</v>
      </c>
      <c r="N96" s="18">
        <f>4400000+2200000+2200000</f>
        <v>8800000</v>
      </c>
      <c r="O96" s="22" t="s">
        <v>368</v>
      </c>
      <c r="Q96" s="13">
        <v>1667</v>
      </c>
      <c r="R96" s="13" t="s">
        <v>170</v>
      </c>
      <c r="S96" s="13" t="s">
        <v>369</v>
      </c>
      <c r="T96" s="13" t="s">
        <v>16</v>
      </c>
      <c r="U96" s="17">
        <f t="shared" si="4"/>
        <v>0</v>
      </c>
    </row>
    <row r="97" spans="1:21" x14ac:dyDescent="0.3">
      <c r="A97" s="13">
        <v>92</v>
      </c>
      <c r="B97" s="13" t="str">
        <f>+VLOOKUP(A97,'[1]PA 2023'!$A$8:$E$84,5)</f>
        <v>Mantener a 1.656 personas mayores vulnerables con atencion integral en instituciones especializadas a través de las modalidades centros vida y centros de bienestar en el marco de la Ley 1276 de 2009.</v>
      </c>
      <c r="C97" s="14">
        <v>2020680010040</v>
      </c>
      <c r="D97" s="14" t="str">
        <f>+VLOOKUP(C97,'[1]PA 2023'!$G$8:$H$84,2,FALSE)</f>
        <v>IMPLEMENTACIÓN DE ACCIONES TENDIENTES A MEJORAR LAS CONDICIONES DE LOS ADULTOS MAYORES DEL MUNICIPIO DE BUCARAMANGA</v>
      </c>
      <c r="E97" s="13" t="s">
        <v>370</v>
      </c>
      <c r="F97" s="15">
        <v>150</v>
      </c>
      <c r="G97" s="22" t="s">
        <v>184</v>
      </c>
      <c r="H97" s="21" t="s">
        <v>185</v>
      </c>
      <c r="I97" s="13" t="s">
        <v>371</v>
      </c>
      <c r="J97" s="13" t="s">
        <v>372</v>
      </c>
      <c r="K97" s="16">
        <v>44958</v>
      </c>
      <c r="L97" s="17">
        <v>70864000</v>
      </c>
      <c r="M97" s="17">
        <v>70864000</v>
      </c>
      <c r="N97" s="18">
        <f>22670300+21053200+21969900</f>
        <v>65693400</v>
      </c>
      <c r="O97" s="22" t="s">
        <v>373</v>
      </c>
      <c r="Q97" s="13">
        <v>1675</v>
      </c>
      <c r="R97" s="23" t="s">
        <v>374</v>
      </c>
      <c r="S97" s="13" t="s">
        <v>375</v>
      </c>
      <c r="T97" s="13" t="s">
        <v>16</v>
      </c>
      <c r="U97" s="17">
        <f>+M97-N97+M588</f>
        <v>0</v>
      </c>
    </row>
    <row r="98" spans="1:21" x14ac:dyDescent="0.3">
      <c r="A98" s="13">
        <v>106</v>
      </c>
      <c r="B98" s="13" t="str">
        <f>+VLOOKUP(A98,'[1]PA 2023'!$A$8:$E$84,5)</f>
        <v>Actualizar e implementar la Política Pública de Mujer.</v>
      </c>
      <c r="C98" s="25">
        <v>2020680010106</v>
      </c>
      <c r="D98" s="14" t="str">
        <f>+VLOOKUP(C98,'[1]PA 2023'!$G$8:$H$84,2,FALSE)</f>
        <v>FORTALECIMIENTO DE ESPACIOS DE PARTICIPACIÓN Y PREVENCIÓN DE VIOLENCIAS EN MUJERES Y POBLACIÓN CON ORIENTACIONES SEXUALES E IDENTIDADES DE GÉNERO DIVERSAS DEL MUNICIPIO DE BUCARAMANGA</v>
      </c>
      <c r="E98" s="13" t="s">
        <v>376</v>
      </c>
      <c r="F98" s="15">
        <v>984</v>
      </c>
      <c r="G98" s="21" t="s">
        <v>43</v>
      </c>
      <c r="H98" s="22" t="s">
        <v>36</v>
      </c>
      <c r="I98" s="13" t="s">
        <v>377</v>
      </c>
      <c r="J98" s="13" t="s">
        <v>378</v>
      </c>
      <c r="K98" s="16">
        <v>44958</v>
      </c>
      <c r="L98" s="17">
        <v>11500000</v>
      </c>
      <c r="M98" s="17">
        <v>11500000</v>
      </c>
      <c r="N98" s="18">
        <f>6000000+5500000</f>
        <v>11500000</v>
      </c>
      <c r="O98" s="22" t="s">
        <v>379</v>
      </c>
      <c r="Q98" s="13">
        <v>1703</v>
      </c>
      <c r="R98" s="13" t="s">
        <v>380</v>
      </c>
      <c r="S98" s="13" t="s">
        <v>381</v>
      </c>
      <c r="T98" s="13" t="s">
        <v>16</v>
      </c>
      <c r="U98" s="17">
        <f>+M98-N98</f>
        <v>0</v>
      </c>
    </row>
    <row r="99" spans="1:21" x14ac:dyDescent="0.3">
      <c r="A99" s="13">
        <v>92</v>
      </c>
      <c r="B99" s="13" t="str">
        <f>+VLOOKUP(A99,'[1]PA 2023'!$A$8:$E$84,5)</f>
        <v>Mantener a 1.656 personas mayores vulnerables con atencion integral en instituciones especializadas a través de las modalidades centros vida y centros de bienestar en el marco de la Ley 1276 de 2009.</v>
      </c>
      <c r="C99" s="14">
        <v>2020680010040</v>
      </c>
      <c r="D99" s="14" t="str">
        <f>+VLOOKUP(C99,'[1]PA 2023'!$G$8:$H$84,2,FALSE)</f>
        <v>IMPLEMENTACIÓN DE ACCIONES TENDIENTES A MEJORAR LAS CONDICIONES DE LOS ADULTOS MAYORES DEL MUNICIPIO DE BUCARAMANGA</v>
      </c>
      <c r="E99" s="13" t="s">
        <v>382</v>
      </c>
      <c r="F99" s="15">
        <v>152</v>
      </c>
      <c r="G99" s="22" t="s">
        <v>184</v>
      </c>
      <c r="H99" s="21" t="s">
        <v>185</v>
      </c>
      <c r="I99" s="13" t="s">
        <v>383</v>
      </c>
      <c r="J99" s="13" t="s">
        <v>384</v>
      </c>
      <c r="K99" s="16">
        <v>44958</v>
      </c>
      <c r="L99" s="17">
        <v>97440000</v>
      </c>
      <c r="M99" s="17">
        <v>97440000</v>
      </c>
      <c r="N99" s="18">
        <f>34720000+31360000+31360000</f>
        <v>97440000</v>
      </c>
      <c r="O99" s="22" t="s">
        <v>385</v>
      </c>
      <c r="Q99" s="13">
        <v>1756</v>
      </c>
      <c r="R99" s="13" t="s">
        <v>386</v>
      </c>
      <c r="S99" s="13" t="s">
        <v>387</v>
      </c>
      <c r="T99" s="13" t="s">
        <v>16</v>
      </c>
      <c r="U99" s="17">
        <f>+M99-N99</f>
        <v>0</v>
      </c>
    </row>
    <row r="100" spans="1:21" x14ac:dyDescent="0.3">
      <c r="A100" s="13">
        <v>92</v>
      </c>
      <c r="B100" s="13" t="str">
        <f>+VLOOKUP(A100,'[1]PA 2023'!$A$8:$E$84,5)</f>
        <v>Mantener a 1.656 personas mayores vulnerables con atencion integral en instituciones especializadas a través de las modalidades centros vida y centros de bienestar en el marco de la Ley 1276 de 2009.</v>
      </c>
      <c r="C100" s="14">
        <v>2020680010040</v>
      </c>
      <c r="D100" s="14" t="str">
        <f>+VLOOKUP(C100,'[1]PA 2023'!$G$8:$H$84,2,FALSE)</f>
        <v>IMPLEMENTACIÓN DE ACCIONES TENDIENTES A MEJORAR LAS CONDICIONES DE LOS ADULTOS MAYORES DEL MUNICIPIO DE BUCARAMANGA</v>
      </c>
      <c r="E100" s="13" t="s">
        <v>388</v>
      </c>
      <c r="F100" s="15">
        <v>151</v>
      </c>
      <c r="G100" s="22" t="s">
        <v>184</v>
      </c>
      <c r="H100" s="21" t="s">
        <v>185</v>
      </c>
      <c r="I100" s="13" t="s">
        <v>389</v>
      </c>
      <c r="J100" s="13" t="s">
        <v>384</v>
      </c>
      <c r="K100" s="16">
        <v>44958</v>
      </c>
      <c r="L100" s="17">
        <v>207060000</v>
      </c>
      <c r="M100" s="17">
        <v>207060000</v>
      </c>
      <c r="N100" s="18">
        <f>64974000+57512000+58968000</f>
        <v>181454000</v>
      </c>
      <c r="O100" s="22" t="s">
        <v>390</v>
      </c>
      <c r="Q100" s="13">
        <v>1757</v>
      </c>
      <c r="R100" s="23" t="s">
        <v>386</v>
      </c>
      <c r="S100" s="13" t="s">
        <v>391</v>
      </c>
      <c r="T100" s="13" t="s">
        <v>16</v>
      </c>
      <c r="U100" s="17">
        <f>+M100-N100+M508</f>
        <v>0</v>
      </c>
    </row>
    <row r="101" spans="1:21" x14ac:dyDescent="0.3">
      <c r="A101" s="13">
        <v>107</v>
      </c>
      <c r="B101" s="13" t="str">
        <f>+VLOOKUP(A101,'[1]PA 2023'!$A$8:$E$84,5)</f>
        <v>Formular e implementar 1 política pública para la población con orientación sexual e identidad de género diversa.</v>
      </c>
      <c r="C101" s="25">
        <v>2020680010106</v>
      </c>
      <c r="D101" s="14" t="str">
        <f>+VLOOKUP(C101,'[1]PA 2023'!$G$8:$H$84,2,FALSE)</f>
        <v>FORTALECIMIENTO DE ESPACIOS DE PARTICIPACIÓN Y PREVENCIÓN DE VIOLENCIAS EN MUJERES Y POBLACIÓN CON ORIENTACIONES SEXUALES E IDENTIDADES DE GÉNERO DIVERSAS DEL MUNICIPIO DE BUCARAMANGA</v>
      </c>
      <c r="E101" s="13" t="s">
        <v>392</v>
      </c>
      <c r="F101" s="15">
        <v>982</v>
      </c>
      <c r="G101" s="21" t="s">
        <v>43</v>
      </c>
      <c r="H101" s="22" t="s">
        <v>36</v>
      </c>
      <c r="I101" s="13" t="s">
        <v>393</v>
      </c>
      <c r="J101" s="13" t="s">
        <v>378</v>
      </c>
      <c r="K101" s="16">
        <v>44958</v>
      </c>
      <c r="L101" s="17">
        <v>19166666.670000002</v>
      </c>
      <c r="M101" s="17">
        <v>19166666.670000002</v>
      </c>
      <c r="N101" s="18">
        <f>10000000+5000000+4166666.67</f>
        <v>19166666.670000002</v>
      </c>
      <c r="O101" s="22" t="s">
        <v>394</v>
      </c>
      <c r="Q101" s="13">
        <v>1759</v>
      </c>
      <c r="R101" s="13" t="s">
        <v>380</v>
      </c>
      <c r="S101" s="13" t="s">
        <v>395</v>
      </c>
      <c r="T101" s="13" t="s">
        <v>16</v>
      </c>
      <c r="U101" s="17">
        <f>+M101-N101</f>
        <v>0</v>
      </c>
    </row>
    <row r="102" spans="1:21" x14ac:dyDescent="0.3">
      <c r="A102" s="13">
        <v>102</v>
      </c>
      <c r="B102" s="13" t="str">
        <f>+VLOOKUP(A102,'[1]PA 2023'!$A$8:$E$84,5)</f>
        <v>Mantener y fortalecer la ruta de atención a víctimas de acoso sexual y violencia de género a través redes comunitarias de prevención en zonas priorizadas del área rural y urbana de la ciudad y consolidación de alianzas con otras entidades.</v>
      </c>
      <c r="C102" s="25">
        <v>2020680010106</v>
      </c>
      <c r="D102" s="14" t="str">
        <f>+VLOOKUP(C102,'[1]PA 2023'!$G$8:$H$84,2,FALSE)</f>
        <v>FORTALECIMIENTO DE ESPACIOS DE PARTICIPACIÓN Y PREVENCIÓN DE VIOLENCIAS EN MUJERES Y POBLACIÓN CON ORIENTACIONES SEXUALES E IDENTIDADES DE GÉNERO DIVERSAS DEL MUNICIPIO DE BUCARAMANGA</v>
      </c>
      <c r="E102" s="13" t="s">
        <v>396</v>
      </c>
      <c r="F102" s="15">
        <v>983</v>
      </c>
      <c r="G102" s="21" t="s">
        <v>43</v>
      </c>
      <c r="H102" s="22" t="s">
        <v>36</v>
      </c>
      <c r="I102" s="13" t="s">
        <v>397</v>
      </c>
      <c r="J102" s="13" t="s">
        <v>378</v>
      </c>
      <c r="K102" s="16">
        <v>44958</v>
      </c>
      <c r="L102" s="17">
        <v>11500000</v>
      </c>
      <c r="M102" s="17">
        <v>11500000</v>
      </c>
      <c r="N102" s="18">
        <f>6000000+3000000+2500000</f>
        <v>11500000</v>
      </c>
      <c r="O102" s="22" t="s">
        <v>398</v>
      </c>
      <c r="Q102" s="13">
        <v>1762</v>
      </c>
      <c r="R102" s="13" t="s">
        <v>380</v>
      </c>
      <c r="S102" s="13" t="s">
        <v>399</v>
      </c>
      <c r="T102" s="13" t="s">
        <v>16</v>
      </c>
      <c r="U102" s="17">
        <f>+M102-N102</f>
        <v>0</v>
      </c>
    </row>
    <row r="103" spans="1:21" x14ac:dyDescent="0.3">
      <c r="A103" s="13">
        <v>68</v>
      </c>
      <c r="B103" s="13" t="str">
        <f>+VLOOKUP(A103,'[1]PA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103" s="14">
        <v>2021680010003</v>
      </c>
      <c r="D103" s="14" t="str">
        <f>+VLOOKUP(C103,'[1]PA 2023'!$G$8:$H$84,2,FALSE)</f>
        <v>IMPLEMENTACIÓN DE ESTRATEGIAS PSICOPEDAGÓGICAS PARA LA DISMINUCIÓN DE FACTORES DE RIESGO EN NIÑOS, NIÑAS Y ADOLESCENTES EN EL MUNICIPIO DE BUCARAMANGA</v>
      </c>
      <c r="E103" s="13" t="s">
        <v>400</v>
      </c>
      <c r="F103" s="15">
        <v>1040</v>
      </c>
      <c r="G103" s="21" t="s">
        <v>43</v>
      </c>
      <c r="H103" s="22" t="s">
        <v>36</v>
      </c>
      <c r="I103" s="13" t="s">
        <v>401</v>
      </c>
      <c r="J103" s="13" t="s">
        <v>212</v>
      </c>
      <c r="K103" s="16">
        <v>44958</v>
      </c>
      <c r="L103" s="17">
        <v>11500000</v>
      </c>
      <c r="M103" s="17">
        <v>11500000</v>
      </c>
      <c r="N103" s="18">
        <f>5900000+5600000</f>
        <v>11500000</v>
      </c>
      <c r="O103" s="22" t="s">
        <v>402</v>
      </c>
      <c r="Q103" s="13">
        <v>1771</v>
      </c>
      <c r="R103" s="13" t="s">
        <v>164</v>
      </c>
      <c r="S103" s="13" t="s">
        <v>403</v>
      </c>
      <c r="T103" s="13" t="s">
        <v>16</v>
      </c>
      <c r="U103" s="17">
        <f>+M103-N103</f>
        <v>0</v>
      </c>
    </row>
    <row r="104" spans="1:21" x14ac:dyDescent="0.3">
      <c r="A104" s="13">
        <v>103</v>
      </c>
      <c r="B104" s="13" t="str">
        <f>+VLOOKUP(A104,'[1]PA 2023'!$A$8:$E$84,5)</f>
        <v>Mantener la garantía de las medidas de atención y protección al 100% de mujeres y sus hijos víctimas de violencia de género con especial situación de riesgos.</v>
      </c>
      <c r="C104" s="25">
        <v>2020680010106</v>
      </c>
      <c r="D104" s="14" t="str">
        <f>+VLOOKUP(C104,'[1]PA 2023'!$G$8:$H$84,2,FALSE)</f>
        <v>FORTALECIMIENTO DE ESPACIOS DE PARTICIPACIÓN Y PREVENCIÓN DE VIOLENCIAS EN MUJERES Y POBLACIÓN CON ORIENTACIONES SEXUALES E IDENTIDADES DE GÉNERO DIVERSAS DEL MUNICIPIO DE BUCARAMANGA</v>
      </c>
      <c r="E104" s="13" t="s">
        <v>404</v>
      </c>
      <c r="F104" s="15">
        <v>1035</v>
      </c>
      <c r="G104" s="21" t="s">
        <v>43</v>
      </c>
      <c r="H104" s="22" t="s">
        <v>36</v>
      </c>
      <c r="I104" s="13" t="s">
        <v>405</v>
      </c>
      <c r="J104" s="13" t="s">
        <v>378</v>
      </c>
      <c r="K104" s="16">
        <v>44958</v>
      </c>
      <c r="L104" s="17">
        <v>23000000</v>
      </c>
      <c r="M104" s="17">
        <v>11500000</v>
      </c>
      <c r="N104" s="18">
        <f>5900000+3000000+2600000</f>
        <v>11500000</v>
      </c>
      <c r="O104" s="22" t="s">
        <v>406</v>
      </c>
      <c r="Q104" s="13">
        <v>1772</v>
      </c>
      <c r="R104" s="23" t="s">
        <v>380</v>
      </c>
      <c r="S104" s="13" t="s">
        <v>407</v>
      </c>
      <c r="T104" s="13" t="s">
        <v>16</v>
      </c>
      <c r="U104" s="17">
        <f>+M104-N104</f>
        <v>0</v>
      </c>
    </row>
    <row r="105" spans="1:21" x14ac:dyDescent="0.3">
      <c r="A105" s="13">
        <v>104</v>
      </c>
      <c r="B105" s="13" t="str">
        <f>+VLOOKUP(A105,'[1]PA 2023'!$A$8:$E$84,5)</f>
        <v>Mantener la estrategia de prevención con hombres de contextos públicos y privados mediante procesos de intervención colectiva en torno a la resignificación crítica de la masculinidad hegemónica y tradicional.</v>
      </c>
      <c r="C105" s="25">
        <v>2020680010106</v>
      </c>
      <c r="D105" s="14" t="str">
        <f>+VLOOKUP(C105,'[1]PA 2023'!$G$8:$H$84,2,FALSE)</f>
        <v>FORTALECIMIENTO DE ESPACIOS DE PARTICIPACIÓN Y PREVENCIÓN DE VIOLENCIAS EN MUJERES Y POBLACIÓN CON ORIENTACIONES SEXUALES E IDENTIDADES DE GÉNERO DIVERSAS DEL MUNICIPIO DE BUCARAMANGA</v>
      </c>
      <c r="E105" s="13" t="s">
        <v>404</v>
      </c>
      <c r="F105" s="15">
        <v>1035</v>
      </c>
      <c r="G105" s="21" t="s">
        <v>43</v>
      </c>
      <c r="H105" s="22" t="s">
        <v>36</v>
      </c>
      <c r="I105" s="13" t="s">
        <v>405</v>
      </c>
      <c r="J105" s="13" t="s">
        <v>378</v>
      </c>
      <c r="K105" s="16">
        <v>44958</v>
      </c>
      <c r="L105" s="17">
        <v>0</v>
      </c>
      <c r="M105" s="17">
        <v>11500000</v>
      </c>
      <c r="N105" s="18">
        <f>5900000+3000000+2600000</f>
        <v>11500000</v>
      </c>
      <c r="O105" s="22" t="s">
        <v>406</v>
      </c>
      <c r="Q105" s="13">
        <v>1772</v>
      </c>
      <c r="R105" s="23" t="s">
        <v>380</v>
      </c>
      <c r="S105" s="13" t="s">
        <v>407</v>
      </c>
      <c r="T105" s="13" t="s">
        <v>16</v>
      </c>
      <c r="U105" s="17">
        <f>+M105-N105</f>
        <v>0</v>
      </c>
    </row>
    <row r="106" spans="1:21" x14ac:dyDescent="0.3">
      <c r="A106" s="13">
        <v>92</v>
      </c>
      <c r="B106" s="13" t="str">
        <f>+VLOOKUP(A106,'[1]PA 2023'!$A$8:$E$84,5)</f>
        <v>Mantener a 1.656 personas mayores vulnerables con atencion integral en instituciones especializadas a través de las modalidades centros vida y centros de bienestar en el marco de la Ley 1276 de 2009.</v>
      </c>
      <c r="C106" s="14">
        <v>2020680010040</v>
      </c>
      <c r="D106" s="14" t="str">
        <f>+VLOOKUP(C106,'[1]PA 2023'!$G$8:$H$84,2,FALSE)</f>
        <v>IMPLEMENTACIÓN DE ACCIONES TENDIENTES A MEJORAR LAS CONDICIONES DE LOS ADULTOS MAYORES DEL MUNICIPIO DE BUCARAMANGA</v>
      </c>
      <c r="E106" s="13" t="s">
        <v>388</v>
      </c>
      <c r="F106" s="15">
        <v>151</v>
      </c>
      <c r="G106" s="22" t="s">
        <v>184</v>
      </c>
      <c r="H106" s="21" t="s">
        <v>185</v>
      </c>
      <c r="I106" s="13" t="s">
        <v>389</v>
      </c>
      <c r="J106" s="13" t="s">
        <v>372</v>
      </c>
      <c r="K106" s="16">
        <v>44959</v>
      </c>
      <c r="L106" s="17">
        <v>199830300</v>
      </c>
      <c r="M106" s="17">
        <v>199830300</v>
      </c>
      <c r="N106" s="18">
        <f>60265300+51633900+51355800</f>
        <v>163255000</v>
      </c>
      <c r="O106" s="22" t="s">
        <v>390</v>
      </c>
      <c r="Q106" s="13">
        <v>1832</v>
      </c>
      <c r="R106" s="23" t="s">
        <v>374</v>
      </c>
      <c r="S106" s="13" t="s">
        <v>391</v>
      </c>
      <c r="T106" s="13" t="s">
        <v>16</v>
      </c>
      <c r="U106" s="17">
        <f>+M106-N106+M509</f>
        <v>0</v>
      </c>
    </row>
    <row r="107" spans="1:21" x14ac:dyDescent="0.3">
      <c r="A107" s="13">
        <v>92</v>
      </c>
      <c r="B107" s="13" t="str">
        <f>+VLOOKUP(A107,'[1]PA 2023'!$A$8:$E$84,5)</f>
        <v>Mantener a 1.656 personas mayores vulnerables con atencion integral en instituciones especializadas a través de las modalidades centros vida y centros de bienestar en el marco de la Ley 1276 de 2009.</v>
      </c>
      <c r="C107" s="14">
        <v>2020680010040</v>
      </c>
      <c r="D107" s="14" t="str">
        <f>+VLOOKUP(C107,'[1]PA 2023'!$G$8:$H$84,2,FALSE)</f>
        <v>IMPLEMENTACIÓN DE ACCIONES TENDIENTES A MEJORAR LAS CONDICIONES DE LOS ADULTOS MAYORES DEL MUNICIPIO DE BUCARAMANGA</v>
      </c>
      <c r="E107" s="13" t="s">
        <v>408</v>
      </c>
      <c r="F107" s="15">
        <v>150</v>
      </c>
      <c r="G107" s="22" t="s">
        <v>184</v>
      </c>
      <c r="H107" s="21" t="s">
        <v>185</v>
      </c>
      <c r="I107" s="13" t="s">
        <v>371</v>
      </c>
      <c r="J107" s="13" t="s">
        <v>384</v>
      </c>
      <c r="K107" s="16">
        <v>44959</v>
      </c>
      <c r="L107" s="17">
        <v>18060000</v>
      </c>
      <c r="M107" s="17">
        <v>18060000</v>
      </c>
      <c r="N107" s="18">
        <f>6076000+5488000+5222000</f>
        <v>16786000</v>
      </c>
      <c r="O107" s="22" t="s">
        <v>373</v>
      </c>
      <c r="Q107" s="13">
        <v>1833</v>
      </c>
      <c r="R107" s="23" t="s">
        <v>386</v>
      </c>
      <c r="S107" s="13" t="s">
        <v>375</v>
      </c>
      <c r="T107" s="13" t="s">
        <v>16</v>
      </c>
      <c r="U107" s="17">
        <f>+M107-N107+M589</f>
        <v>0</v>
      </c>
    </row>
    <row r="108" spans="1:21" x14ac:dyDescent="0.3">
      <c r="A108" s="13">
        <v>92</v>
      </c>
      <c r="B108" s="13" t="str">
        <f>+VLOOKUP(A108,'[1]PA 2023'!$A$8:$E$84,5)</f>
        <v>Mantener a 1.656 personas mayores vulnerables con atencion integral en instituciones especializadas a través de las modalidades centros vida y centros de bienestar en el marco de la Ley 1276 de 2009.</v>
      </c>
      <c r="C108" s="14">
        <v>2020680010040</v>
      </c>
      <c r="D108" s="14" t="str">
        <f>+VLOOKUP(C108,'[1]PA 2023'!$G$8:$H$84,2,FALSE)</f>
        <v>IMPLEMENTACIÓN DE ACCIONES TENDIENTES A MEJORAR LAS CONDICIONES DE LOS ADULTOS MAYORES DEL MUNICIPIO DE BUCARAMANGA</v>
      </c>
      <c r="E108" s="13" t="s">
        <v>409</v>
      </c>
      <c r="F108" s="15">
        <v>153</v>
      </c>
      <c r="G108" s="22" t="s">
        <v>184</v>
      </c>
      <c r="H108" s="21" t="s">
        <v>185</v>
      </c>
      <c r="I108" s="13" t="s">
        <v>186</v>
      </c>
      <c r="J108" s="13" t="s">
        <v>384</v>
      </c>
      <c r="K108" s="16">
        <v>44959</v>
      </c>
      <c r="L108" s="17">
        <v>42630000</v>
      </c>
      <c r="M108" s="17">
        <v>42630000</v>
      </c>
      <c r="N108" s="18">
        <f>14756000+13328000+12572000</f>
        <v>40656000</v>
      </c>
      <c r="O108" s="22" t="s">
        <v>410</v>
      </c>
      <c r="Q108" s="13">
        <v>1834</v>
      </c>
      <c r="R108" s="23" t="s">
        <v>386</v>
      </c>
      <c r="S108" s="13" t="s">
        <v>188</v>
      </c>
      <c r="T108" s="13" t="s">
        <v>16</v>
      </c>
      <c r="U108" s="17">
        <f>+M108-N108+M510</f>
        <v>0</v>
      </c>
    </row>
    <row r="109" spans="1:21" x14ac:dyDescent="0.3">
      <c r="A109" s="13">
        <v>92</v>
      </c>
      <c r="B109" s="13" t="str">
        <f>+VLOOKUP(A109,'[1]PA 2023'!$A$8:$E$84,5)</f>
        <v>Mantener a 1.656 personas mayores vulnerables con atencion integral en instituciones especializadas a través de las modalidades centros vida y centros de bienestar en el marco de la Ley 1276 de 2009.</v>
      </c>
      <c r="C109" s="14">
        <v>2020680010040</v>
      </c>
      <c r="D109" s="14" t="str">
        <f>+VLOOKUP(C109,'[1]PA 2023'!$G$8:$H$84,2,FALSE)</f>
        <v>IMPLEMENTACIÓN DE ACCIONES TENDIENTES A MEJORAR LAS CONDICIONES DE LOS ADULTOS MAYORES DEL MUNICIPIO DE BUCARAMANGA</v>
      </c>
      <c r="E109" s="13" t="s">
        <v>411</v>
      </c>
      <c r="F109" s="15">
        <v>153</v>
      </c>
      <c r="G109" s="22" t="s">
        <v>184</v>
      </c>
      <c r="H109" s="21" t="s">
        <v>185</v>
      </c>
      <c r="I109" s="13" t="s">
        <v>186</v>
      </c>
      <c r="J109" s="13" t="s">
        <v>372</v>
      </c>
      <c r="K109" s="16">
        <v>44959</v>
      </c>
      <c r="L109" s="17">
        <v>53766000</v>
      </c>
      <c r="M109" s="17">
        <v>53766000</v>
      </c>
      <c r="N109" s="18">
        <f>18200100+16438800+9064000</f>
        <v>43702900</v>
      </c>
      <c r="O109" s="22" t="s">
        <v>410</v>
      </c>
      <c r="Q109" s="13">
        <v>1835</v>
      </c>
      <c r="R109" s="23" t="s">
        <v>374</v>
      </c>
      <c r="S109" s="13" t="s">
        <v>188</v>
      </c>
      <c r="T109" s="13" t="s">
        <v>16</v>
      </c>
      <c r="U109" s="17">
        <f>+M109-N109+M511</f>
        <v>0</v>
      </c>
    </row>
    <row r="110" spans="1:21" x14ac:dyDescent="0.3">
      <c r="A110" s="13">
        <v>92</v>
      </c>
      <c r="B110" s="13" t="str">
        <f>+VLOOKUP(A110,'[1]PA 2023'!$A$8:$E$84,5)</f>
        <v>Mantener a 1.656 personas mayores vulnerables con atencion integral en instituciones especializadas a través de las modalidades centros vida y centros de bienestar en el marco de la Ley 1276 de 2009.</v>
      </c>
      <c r="C110" s="14">
        <v>2020680010040</v>
      </c>
      <c r="D110" s="14" t="str">
        <f>+VLOOKUP(C110,'[1]PA 2023'!$G$8:$H$84,2,FALSE)</f>
        <v>IMPLEMENTACIÓN DE ACCIONES TENDIENTES A MEJORAR LAS CONDICIONES DE LOS ADULTOS MAYORES DEL MUNICIPIO DE BUCARAMANGA</v>
      </c>
      <c r="E110" s="13" t="s">
        <v>412</v>
      </c>
      <c r="F110" s="15">
        <v>154</v>
      </c>
      <c r="G110" s="22" t="s">
        <v>184</v>
      </c>
      <c r="H110" s="21" t="s">
        <v>185</v>
      </c>
      <c r="I110" s="13" t="s">
        <v>413</v>
      </c>
      <c r="J110" s="13" t="s">
        <v>384</v>
      </c>
      <c r="K110" s="16">
        <v>44959</v>
      </c>
      <c r="L110" s="17">
        <v>158340000</v>
      </c>
      <c r="M110" s="17">
        <v>158340000</v>
      </c>
      <c r="N110" s="18">
        <f>46676000+41916000+41328000</f>
        <v>129920000</v>
      </c>
      <c r="O110" s="22" t="s">
        <v>414</v>
      </c>
      <c r="Q110" s="13">
        <v>1836</v>
      </c>
      <c r="R110" s="23" t="s">
        <v>386</v>
      </c>
      <c r="S110" s="13" t="s">
        <v>415</v>
      </c>
      <c r="T110" s="13" t="s">
        <v>16</v>
      </c>
      <c r="U110" s="17">
        <f>+M110-N110+M501</f>
        <v>486932176</v>
      </c>
    </row>
    <row r="111" spans="1:21" x14ac:dyDescent="0.3">
      <c r="A111" s="13">
        <v>92</v>
      </c>
      <c r="B111" s="13" t="str">
        <f>+VLOOKUP(A111,'[1]PA 2023'!$A$8:$E$84,5)</f>
        <v>Mantener a 1.656 personas mayores vulnerables con atencion integral en instituciones especializadas a través de las modalidades centros vida y centros de bienestar en el marco de la Ley 1276 de 2009.</v>
      </c>
      <c r="C111" s="14">
        <v>2020680010040</v>
      </c>
      <c r="D111" s="14" t="str">
        <f>+VLOOKUP(C111,'[1]PA 2023'!$G$8:$H$84,2,FALSE)</f>
        <v>IMPLEMENTACIÓN DE ACCIONES TENDIENTES A MEJORAR LAS CONDICIONES DE LOS ADULTOS MAYORES DEL MUNICIPIO DE BUCARAMANGA</v>
      </c>
      <c r="E111" s="13" t="s">
        <v>412</v>
      </c>
      <c r="F111" s="15">
        <v>154</v>
      </c>
      <c r="G111" s="22" t="s">
        <v>184</v>
      </c>
      <c r="H111" s="21" t="s">
        <v>185</v>
      </c>
      <c r="I111" s="13" t="s">
        <v>413</v>
      </c>
      <c r="J111" s="13" t="s">
        <v>372</v>
      </c>
      <c r="K111" s="16">
        <v>44959</v>
      </c>
      <c r="L111" s="17">
        <v>98571000</v>
      </c>
      <c r="M111" s="17">
        <v>98571000</v>
      </c>
      <c r="N111" s="18">
        <f>31353200+30024500+29468300</f>
        <v>90846000</v>
      </c>
      <c r="O111" s="22" t="s">
        <v>414</v>
      </c>
      <c r="Q111" s="13">
        <v>1837</v>
      </c>
      <c r="R111" s="23" t="s">
        <v>374</v>
      </c>
      <c r="S111" s="13" t="s">
        <v>415</v>
      </c>
      <c r="T111" s="13" t="s">
        <v>16</v>
      </c>
      <c r="U111" s="17">
        <f>+M111-N111+M513</f>
        <v>0</v>
      </c>
    </row>
    <row r="112" spans="1:21" x14ac:dyDescent="0.3">
      <c r="A112" s="13">
        <v>92</v>
      </c>
      <c r="B112" s="13" t="str">
        <f>+VLOOKUP(A112,'[1]PA 2023'!$A$8:$E$84,5)</f>
        <v>Mantener a 1.656 personas mayores vulnerables con atencion integral en instituciones especializadas a través de las modalidades centros vida y centros de bienestar en el marco de la Ley 1276 de 2009.</v>
      </c>
      <c r="C112" s="14">
        <v>2020680010040</v>
      </c>
      <c r="D112" s="14" t="str">
        <f>+VLOOKUP(C112,'[1]PA 2023'!$G$8:$H$84,2,FALSE)</f>
        <v>IMPLEMENTACIÓN DE ACCIONES TENDIENTES A MEJORAR LAS CONDICIONES DE LOS ADULTOS MAYORES DEL MUNICIPIO DE BUCARAMANGA</v>
      </c>
      <c r="E112" s="13" t="s">
        <v>416</v>
      </c>
      <c r="F112" s="15">
        <v>155</v>
      </c>
      <c r="G112" s="22" t="s">
        <v>184</v>
      </c>
      <c r="H112" s="21" t="s">
        <v>185</v>
      </c>
      <c r="I112" s="13" t="s">
        <v>417</v>
      </c>
      <c r="J112" s="13" t="s">
        <v>384</v>
      </c>
      <c r="K112" s="16">
        <v>44959</v>
      </c>
      <c r="L112" s="17">
        <v>41650000</v>
      </c>
      <c r="M112" s="17">
        <v>41650000</v>
      </c>
      <c r="N112" s="18">
        <f>14448000+13664000+12768000</f>
        <v>40880000</v>
      </c>
      <c r="O112" s="22" t="s">
        <v>418</v>
      </c>
      <c r="Q112" s="13">
        <v>1838</v>
      </c>
      <c r="R112" s="23" t="s">
        <v>386</v>
      </c>
      <c r="S112" s="13" t="s">
        <v>419</v>
      </c>
      <c r="T112" s="13" t="s">
        <v>16</v>
      </c>
      <c r="U112" s="17">
        <f>+M112-N112+M679</f>
        <v>15770000</v>
      </c>
    </row>
    <row r="113" spans="1:21" x14ac:dyDescent="0.3">
      <c r="A113" s="13">
        <v>92</v>
      </c>
      <c r="B113" s="13" t="str">
        <f>+VLOOKUP(A113,'[1]PA 2023'!$A$8:$E$84,5)</f>
        <v>Mantener a 1.656 personas mayores vulnerables con atencion integral en instituciones especializadas a través de las modalidades centros vida y centros de bienestar en el marco de la Ley 1276 de 2009.</v>
      </c>
      <c r="C113" s="14">
        <v>2020680010040</v>
      </c>
      <c r="D113" s="14" t="str">
        <f>+VLOOKUP(C113,'[1]PA 2023'!$G$8:$H$84,2,FALSE)</f>
        <v>IMPLEMENTACIÓN DE ACCIONES TENDIENTES A MEJORAR LAS CONDICIONES DE LOS ADULTOS MAYORES DEL MUNICIPIO DE BUCARAMANGA</v>
      </c>
      <c r="E113" s="13" t="s">
        <v>416</v>
      </c>
      <c r="F113" s="15">
        <v>155</v>
      </c>
      <c r="G113" s="22" t="s">
        <v>184</v>
      </c>
      <c r="H113" s="21" t="s">
        <v>185</v>
      </c>
      <c r="I113" s="13" t="s">
        <v>417</v>
      </c>
      <c r="J113" s="13" t="s">
        <v>372</v>
      </c>
      <c r="K113" s="16">
        <v>44959</v>
      </c>
      <c r="L113" s="17">
        <v>43775000</v>
      </c>
      <c r="M113" s="17">
        <v>43775000</v>
      </c>
      <c r="N113" s="18">
        <f>11814100+10681100+9929200</f>
        <v>32424400</v>
      </c>
      <c r="O113" s="22" t="s">
        <v>418</v>
      </c>
      <c r="Q113" s="13">
        <v>1839</v>
      </c>
      <c r="R113" s="23" t="s">
        <v>374</v>
      </c>
      <c r="S113" s="13" t="s">
        <v>419</v>
      </c>
      <c r="T113" s="13" t="s">
        <v>16</v>
      </c>
      <c r="U113" s="17">
        <f>+M113-N113+M701</f>
        <v>11520050</v>
      </c>
    </row>
    <row r="114" spans="1:21" x14ac:dyDescent="0.3">
      <c r="A114" s="13">
        <v>92</v>
      </c>
      <c r="B114" s="13" t="str">
        <f>+VLOOKUP(A114,'[1]PA 2023'!$A$8:$E$84,5)</f>
        <v>Mantener a 1.656 personas mayores vulnerables con atencion integral en instituciones especializadas a través de las modalidades centros vida y centros de bienestar en el marco de la Ley 1276 de 2009.</v>
      </c>
      <c r="C114" s="14">
        <v>2020680010040</v>
      </c>
      <c r="D114" s="14" t="str">
        <f>+VLOOKUP(C114,'[1]PA 2023'!$G$8:$H$84,2,FALSE)</f>
        <v>IMPLEMENTACIÓN DE ACCIONES TENDIENTES A MEJORAR LAS CONDICIONES DE LOS ADULTOS MAYORES DEL MUNICIPIO DE BUCARAMANGA</v>
      </c>
      <c r="E114" s="13" t="s">
        <v>420</v>
      </c>
      <c r="F114" s="15">
        <v>156</v>
      </c>
      <c r="G114" s="22" t="s">
        <v>184</v>
      </c>
      <c r="H114" s="21" t="s">
        <v>185</v>
      </c>
      <c r="I114" s="13" t="s">
        <v>421</v>
      </c>
      <c r="J114" s="13" t="s">
        <v>384</v>
      </c>
      <c r="K114" s="16">
        <v>44959</v>
      </c>
      <c r="L114" s="17">
        <v>73080000</v>
      </c>
      <c r="M114" s="17">
        <v>73080000</v>
      </c>
      <c r="N114" s="18">
        <f>26040000+23520000+23142000</f>
        <v>72702000</v>
      </c>
      <c r="O114" s="22" t="s">
        <v>422</v>
      </c>
      <c r="Q114" s="13">
        <v>1840</v>
      </c>
      <c r="R114" s="23" t="s">
        <v>386</v>
      </c>
      <c r="S114" s="13" t="s">
        <v>423</v>
      </c>
      <c r="T114" s="13" t="s">
        <v>16</v>
      </c>
      <c r="U114" s="17">
        <f>+M114-N114+M680</f>
        <v>15378000</v>
      </c>
    </row>
    <row r="115" spans="1:21" x14ac:dyDescent="0.3">
      <c r="A115" s="13">
        <v>92</v>
      </c>
      <c r="B115" s="13" t="str">
        <f>+VLOOKUP(A115,'[1]PA 2023'!$A$8:$E$84,5)</f>
        <v>Mantener a 1.656 personas mayores vulnerables con atencion integral en instituciones especializadas a través de las modalidades centros vida y centros de bienestar en el marco de la Ley 1276 de 2009.</v>
      </c>
      <c r="C115" s="14">
        <v>2020680010040</v>
      </c>
      <c r="D115" s="14" t="str">
        <f>+VLOOKUP(C115,'[1]PA 2023'!$G$8:$H$84,2,FALSE)</f>
        <v>IMPLEMENTACIÓN DE ACCIONES TENDIENTES A MEJORAR LAS CONDICIONES DE LOS ADULTOS MAYORES DEL MUNICIPIO DE BUCARAMANGA</v>
      </c>
      <c r="E115" s="13" t="s">
        <v>420</v>
      </c>
      <c r="F115" s="15">
        <v>156</v>
      </c>
      <c r="G115" s="22" t="s">
        <v>184</v>
      </c>
      <c r="H115" s="21" t="s">
        <v>185</v>
      </c>
      <c r="I115" s="13" t="s">
        <v>421</v>
      </c>
      <c r="J115" s="13" t="s">
        <v>372</v>
      </c>
      <c r="K115" s="16">
        <v>44959</v>
      </c>
      <c r="L115" s="17">
        <v>179220000</v>
      </c>
      <c r="M115" s="17">
        <v>179220000</v>
      </c>
      <c r="N115" s="18">
        <f>63860000+57680000+56660300</f>
        <v>178200300</v>
      </c>
      <c r="O115" s="22" t="s">
        <v>422</v>
      </c>
      <c r="Q115" s="13">
        <v>1841</v>
      </c>
      <c r="R115" s="23" t="s">
        <v>374</v>
      </c>
      <c r="S115" s="13" t="s">
        <v>423</v>
      </c>
      <c r="T115" s="13" t="s">
        <v>16</v>
      </c>
      <c r="U115" s="17">
        <f>+M115-N115+M702</f>
        <v>1710690</v>
      </c>
    </row>
    <row r="116" spans="1:21" x14ac:dyDescent="0.3">
      <c r="A116" s="13">
        <v>92</v>
      </c>
      <c r="B116" s="13" t="str">
        <f>+VLOOKUP(A116,'[1]PA 2023'!$A$8:$E$84,5)</f>
        <v>Mantener a 1.656 personas mayores vulnerables con atencion integral en instituciones especializadas a través de las modalidades centros vida y centros de bienestar en el marco de la Ley 1276 de 2009.</v>
      </c>
      <c r="C116" s="14">
        <v>2020680010040</v>
      </c>
      <c r="D116" s="14" t="str">
        <f>+VLOOKUP(C116,'[1]PA 2023'!$G$8:$H$84,2,FALSE)</f>
        <v>IMPLEMENTACIÓN DE ACCIONES TENDIENTES A MEJORAR LAS CONDICIONES DE LOS ADULTOS MAYORES DEL MUNICIPIO DE BUCARAMANGA</v>
      </c>
      <c r="E116" s="13" t="s">
        <v>424</v>
      </c>
      <c r="F116" s="15">
        <v>158</v>
      </c>
      <c r="G116" s="22" t="s">
        <v>184</v>
      </c>
      <c r="H116" s="21" t="s">
        <v>185</v>
      </c>
      <c r="I116" s="13" t="s">
        <v>425</v>
      </c>
      <c r="J116" s="13" t="s">
        <v>372</v>
      </c>
      <c r="K116" s="16">
        <v>44959</v>
      </c>
      <c r="L116" s="17">
        <v>44805000</v>
      </c>
      <c r="M116" s="17">
        <v>44805000</v>
      </c>
      <c r="N116" s="18">
        <f>15965000+14420000+14420000</f>
        <v>44805000</v>
      </c>
      <c r="O116" s="22" t="s">
        <v>426</v>
      </c>
      <c r="Q116" s="13">
        <v>1842</v>
      </c>
      <c r="R116" s="13" t="s">
        <v>374</v>
      </c>
      <c r="S116" s="13" t="s">
        <v>427</v>
      </c>
      <c r="T116" s="13" t="s">
        <v>16</v>
      </c>
      <c r="U116" s="17">
        <f>+M116-N116</f>
        <v>0</v>
      </c>
    </row>
    <row r="117" spans="1:21" x14ac:dyDescent="0.3">
      <c r="A117" s="13">
        <v>92</v>
      </c>
      <c r="B117" s="13" t="str">
        <f>+VLOOKUP(A117,'[1]PA 2023'!$A$8:$E$84,5)</f>
        <v>Mantener a 1.656 personas mayores vulnerables con atencion integral en instituciones especializadas a través de las modalidades centros vida y centros de bienestar en el marco de la Ley 1276 de 2009.</v>
      </c>
      <c r="C117" s="14">
        <v>2020680010040</v>
      </c>
      <c r="D117" s="14" t="str">
        <f>+VLOOKUP(C117,'[1]PA 2023'!$G$8:$H$84,2,FALSE)</f>
        <v>IMPLEMENTACIÓN DE ACCIONES TENDIENTES A MEJORAR LAS CONDICIONES DE LOS ADULTOS MAYORES DEL MUNICIPIO DE BUCARAMANGA</v>
      </c>
      <c r="E117" s="13" t="s">
        <v>428</v>
      </c>
      <c r="F117" s="15">
        <v>159</v>
      </c>
      <c r="G117" s="22" t="s">
        <v>184</v>
      </c>
      <c r="H117" s="21" t="s">
        <v>185</v>
      </c>
      <c r="I117" s="13" t="s">
        <v>429</v>
      </c>
      <c r="J117" s="13" t="s">
        <v>372</v>
      </c>
      <c r="K117" s="16">
        <v>44959</v>
      </c>
      <c r="L117" s="17">
        <v>19714200</v>
      </c>
      <c r="M117" s="17">
        <v>19714200</v>
      </c>
      <c r="N117" s="18">
        <f>7024600+6344800+6344800</f>
        <v>19714200</v>
      </c>
      <c r="O117" s="22" t="s">
        <v>430</v>
      </c>
      <c r="Q117" s="13">
        <v>1843</v>
      </c>
      <c r="R117" s="13" t="s">
        <v>374</v>
      </c>
      <c r="S117" s="13" t="s">
        <v>431</v>
      </c>
      <c r="T117" s="13" t="s">
        <v>16</v>
      </c>
      <c r="U117" s="17">
        <f>+M117-N117</f>
        <v>0</v>
      </c>
    </row>
    <row r="118" spans="1:21" x14ac:dyDescent="0.3">
      <c r="A118" s="13">
        <v>92</v>
      </c>
      <c r="B118" s="13" t="str">
        <f>+VLOOKUP(A118,'[1]PA 2023'!$A$8:$E$84,5)</f>
        <v>Mantener a 1.656 personas mayores vulnerables con atencion integral en instituciones especializadas a través de las modalidades centros vida y centros de bienestar en el marco de la Ley 1276 de 2009.</v>
      </c>
      <c r="C118" s="14">
        <v>2020680010040</v>
      </c>
      <c r="D118" s="14" t="str">
        <f>+VLOOKUP(C118,'[1]PA 2023'!$G$8:$H$84,2,FALSE)</f>
        <v>IMPLEMENTACIÓN DE ACCIONES TENDIENTES A MEJORAR LAS CONDICIONES DE LOS ADULTOS MAYORES DEL MUNICIPIO DE BUCARAMANGA</v>
      </c>
      <c r="E118" s="13" t="s">
        <v>428</v>
      </c>
      <c r="F118" s="15">
        <v>159</v>
      </c>
      <c r="G118" s="22" t="s">
        <v>184</v>
      </c>
      <c r="H118" s="21" t="s">
        <v>185</v>
      </c>
      <c r="I118" s="13" t="s">
        <v>429</v>
      </c>
      <c r="J118" s="13" t="s">
        <v>384</v>
      </c>
      <c r="K118" s="16">
        <v>44959</v>
      </c>
      <c r="L118" s="17">
        <v>30450000</v>
      </c>
      <c r="M118" s="17">
        <v>30450000</v>
      </c>
      <c r="N118" s="18">
        <f>9814000+8232000+8890000</f>
        <v>26936000</v>
      </c>
      <c r="O118" s="22" t="s">
        <v>430</v>
      </c>
      <c r="Q118" s="13">
        <v>1844</v>
      </c>
      <c r="R118" s="23" t="s">
        <v>386</v>
      </c>
      <c r="S118" s="13" t="s">
        <v>431</v>
      </c>
      <c r="T118" s="13" t="s">
        <v>16</v>
      </c>
      <c r="U118" s="17">
        <f>+M118-N118+M681</f>
        <v>22114000</v>
      </c>
    </row>
    <row r="119" spans="1:21" x14ac:dyDescent="0.3">
      <c r="A119" s="13">
        <v>92</v>
      </c>
      <c r="B119" s="13" t="str">
        <f>+VLOOKUP(A119,'[1]PA 2023'!$A$8:$E$84,5)</f>
        <v>Mantener a 1.656 personas mayores vulnerables con atencion integral en instituciones especializadas a través de las modalidades centros vida y centros de bienestar en el marco de la Ley 1276 de 2009.</v>
      </c>
      <c r="C119" s="14">
        <v>2020680010040</v>
      </c>
      <c r="D119" s="14" t="str">
        <f>+VLOOKUP(C119,'[1]PA 2023'!$G$8:$H$84,2,FALSE)</f>
        <v>IMPLEMENTACIÓN DE ACCIONES TENDIENTES A MEJORAR LAS CONDICIONES DE LOS ADULTOS MAYORES DEL MUNICIPIO DE BUCARAMANGA</v>
      </c>
      <c r="E119" s="13" t="s">
        <v>432</v>
      </c>
      <c r="F119" s="15">
        <v>160</v>
      </c>
      <c r="G119" s="22" t="s">
        <v>184</v>
      </c>
      <c r="H119" s="21" t="s">
        <v>185</v>
      </c>
      <c r="I119" s="13" t="s">
        <v>179</v>
      </c>
      <c r="J119" s="13" t="s">
        <v>384</v>
      </c>
      <c r="K119" s="16">
        <v>44959</v>
      </c>
      <c r="L119" s="17">
        <v>36120000</v>
      </c>
      <c r="M119" s="17">
        <v>36120000</v>
      </c>
      <c r="N119" s="18">
        <f>12530000+10766000+10962000</f>
        <v>34258000</v>
      </c>
      <c r="O119" s="22" t="s">
        <v>433</v>
      </c>
      <c r="Q119" s="13">
        <v>1845</v>
      </c>
      <c r="R119" s="23" t="s">
        <v>386</v>
      </c>
      <c r="S119" s="13" t="s">
        <v>182</v>
      </c>
      <c r="T119" s="13" t="s">
        <v>16</v>
      </c>
      <c r="U119" s="17">
        <f>+M119-N119+M502</f>
        <v>4862000</v>
      </c>
    </row>
    <row r="120" spans="1:21" x14ac:dyDescent="0.3">
      <c r="A120" s="13">
        <v>92</v>
      </c>
      <c r="B120" s="13" t="str">
        <f>+VLOOKUP(A120,'[1]PA 2023'!$A$8:$E$84,5)</f>
        <v>Mantener a 1.656 personas mayores vulnerables con atencion integral en instituciones especializadas a través de las modalidades centros vida y centros de bienestar en el marco de la Ley 1276 de 2009.</v>
      </c>
      <c r="C120" s="14">
        <v>2020680010040</v>
      </c>
      <c r="D120" s="14" t="str">
        <f>+VLOOKUP(C120,'[1]PA 2023'!$G$8:$H$84,2,FALSE)</f>
        <v>IMPLEMENTACIÓN DE ACCIONES TENDIENTES A MEJORAR LAS CONDICIONES DE LOS ADULTOS MAYORES DEL MUNICIPIO DE BUCARAMANGA</v>
      </c>
      <c r="E120" s="13" t="s">
        <v>432</v>
      </c>
      <c r="F120" s="15">
        <v>160</v>
      </c>
      <c r="G120" s="22" t="s">
        <v>184</v>
      </c>
      <c r="H120" s="21" t="s">
        <v>185</v>
      </c>
      <c r="I120" s="13" t="s">
        <v>179</v>
      </c>
      <c r="J120" s="13" t="s">
        <v>372</v>
      </c>
      <c r="K120" s="16">
        <v>44959</v>
      </c>
      <c r="L120" s="17">
        <v>16830200</v>
      </c>
      <c r="M120" s="17">
        <v>16830200</v>
      </c>
      <c r="N120" s="18">
        <f>5108800+4573200+4171500</f>
        <v>13853500</v>
      </c>
      <c r="O120" s="22" t="s">
        <v>433</v>
      </c>
      <c r="Q120" s="13">
        <v>1846</v>
      </c>
      <c r="R120" s="23" t="s">
        <v>374</v>
      </c>
      <c r="S120" s="13" t="s">
        <v>182</v>
      </c>
      <c r="T120" s="13" t="s">
        <v>16</v>
      </c>
      <c r="U120" s="17">
        <f>+M120-N120+M510</f>
        <v>1002700</v>
      </c>
    </row>
    <row r="121" spans="1:21" x14ac:dyDescent="0.3">
      <c r="A121" s="13">
        <v>92</v>
      </c>
      <c r="B121" s="13" t="str">
        <f>+VLOOKUP(A121,'[1]PA 2023'!$A$8:$E$84,5)</f>
        <v>Mantener a 1.656 personas mayores vulnerables con atencion integral en instituciones especializadas a través de las modalidades centros vida y centros de bienestar en el marco de la Ley 1276 de 2009.</v>
      </c>
      <c r="C121" s="14">
        <v>2020680010040</v>
      </c>
      <c r="D121" s="14" t="str">
        <f>+VLOOKUP(C121,'[1]PA 2023'!$G$8:$H$84,2,FALSE)</f>
        <v>IMPLEMENTACIÓN DE ACCIONES TENDIENTES A MEJORAR LAS CONDICIONES DE LOS ADULTOS MAYORES DEL MUNICIPIO DE BUCARAMANGA</v>
      </c>
      <c r="E121" s="13" t="s">
        <v>434</v>
      </c>
      <c r="F121" s="15">
        <v>161</v>
      </c>
      <c r="G121" s="22" t="s">
        <v>184</v>
      </c>
      <c r="H121" s="21" t="s">
        <v>185</v>
      </c>
      <c r="I121" s="13" t="s">
        <v>435</v>
      </c>
      <c r="J121" s="13" t="s">
        <v>384</v>
      </c>
      <c r="K121" s="16">
        <v>44959</v>
      </c>
      <c r="L121" s="17">
        <v>18060000</v>
      </c>
      <c r="M121" s="17">
        <v>18060000</v>
      </c>
      <c r="N121" s="18">
        <f>3486000+3178000+308000</f>
        <v>6972000</v>
      </c>
      <c r="O121" s="22" t="s">
        <v>436</v>
      </c>
      <c r="Q121" s="13">
        <v>1847</v>
      </c>
      <c r="R121" s="23" t="s">
        <v>386</v>
      </c>
      <c r="S121" s="13" t="s">
        <v>437</v>
      </c>
      <c r="T121" s="13" t="s">
        <v>16</v>
      </c>
      <c r="U121" s="17">
        <f>+M121-N121+L682</f>
        <v>29088000</v>
      </c>
    </row>
    <row r="122" spans="1:21" x14ac:dyDescent="0.3">
      <c r="A122" s="13">
        <v>92</v>
      </c>
      <c r="B122" s="13" t="str">
        <f>+VLOOKUP(A122,'[1]PA 2023'!$A$8:$E$84,5)</f>
        <v>Mantener a 1.656 personas mayores vulnerables con atencion integral en instituciones especializadas a través de las modalidades centros vida y centros de bienestar en el marco de la Ley 1276 de 2009.</v>
      </c>
      <c r="C122" s="14">
        <v>2020680010040</v>
      </c>
      <c r="D122" s="14" t="str">
        <f>+VLOOKUP(C122,'[1]PA 2023'!$G$8:$H$84,2,FALSE)</f>
        <v>IMPLEMENTACIÓN DE ACCIONES TENDIENTES A MEJORAR LAS CONDICIONES DE LOS ADULTOS MAYORES DEL MUNICIPIO DE BUCARAMANGA</v>
      </c>
      <c r="E122" s="13" t="s">
        <v>434</v>
      </c>
      <c r="F122" s="15">
        <v>161</v>
      </c>
      <c r="G122" s="22" t="s">
        <v>184</v>
      </c>
      <c r="H122" s="21" t="s">
        <v>185</v>
      </c>
      <c r="I122" s="13" t="s">
        <v>435</v>
      </c>
      <c r="J122" s="13" t="s">
        <v>372</v>
      </c>
      <c r="K122" s="16">
        <v>44959</v>
      </c>
      <c r="L122" s="17">
        <v>93894800</v>
      </c>
      <c r="M122" s="17">
        <v>93894800</v>
      </c>
      <c r="N122" s="18">
        <f>29993600+27233200+29447700</f>
        <v>86674500</v>
      </c>
      <c r="O122" s="22" t="s">
        <v>436</v>
      </c>
      <c r="Q122" s="13">
        <v>1848</v>
      </c>
      <c r="R122" s="23" t="s">
        <v>374</v>
      </c>
      <c r="S122" s="13" t="s">
        <v>437</v>
      </c>
      <c r="T122" s="13" t="s">
        <v>16</v>
      </c>
      <c r="U122" s="17">
        <f>+M122-N122+M703</f>
        <v>7939300</v>
      </c>
    </row>
    <row r="123" spans="1:21" x14ac:dyDescent="0.3">
      <c r="A123" s="13">
        <v>115</v>
      </c>
      <c r="B123" s="13" t="str">
        <f>+VLOOKUP(A123,'[1]PA 2023'!$A$8:$E$84,5)</f>
        <v>Garantizar y mantener la atención integral en procesos de habilitación y rehabilitación a 250 niñas, niños y adolescentes con discapacidad del sector urbano y rural en extrema vulnerabilidad.</v>
      </c>
      <c r="C123" s="14">
        <v>2020680010121</v>
      </c>
      <c r="D123" s="14" t="str">
        <f>+VLOOKUP(C123,'[1]PA 2023'!$G$8:$H$84,2,FALSE)</f>
        <v>APOYO A LA OPERATIVIDAD DE LOS PROGRAMAS DE ATENCIÓN INTEGRAL A LAS PERSONAS CON DISCAPACIDAD. FAMILIARES Y/O CUIDADORES DEL MUNICIPIO DE BUCARAMANGA</v>
      </c>
      <c r="E123" s="13" t="s">
        <v>438</v>
      </c>
      <c r="F123" s="15">
        <v>109</v>
      </c>
      <c r="G123" s="22" t="s">
        <v>177</v>
      </c>
      <c r="H123" s="21" t="s">
        <v>178</v>
      </c>
      <c r="I123" s="13" t="s">
        <v>439</v>
      </c>
      <c r="J123" s="13" t="s">
        <v>191</v>
      </c>
      <c r="K123" s="16">
        <v>44959</v>
      </c>
      <c r="L123" s="17">
        <v>0</v>
      </c>
      <c r="M123" s="17">
        <v>0</v>
      </c>
      <c r="N123" s="18">
        <v>0</v>
      </c>
      <c r="O123" s="22" t="s">
        <v>440</v>
      </c>
      <c r="Q123" s="13">
        <v>1849</v>
      </c>
      <c r="R123" s="13" t="s">
        <v>193</v>
      </c>
      <c r="S123" s="13" t="s">
        <v>441</v>
      </c>
      <c r="T123" s="13" t="s">
        <v>16</v>
      </c>
      <c r="U123" s="26">
        <f>+M123-N123</f>
        <v>0</v>
      </c>
    </row>
    <row r="124" spans="1:21" x14ac:dyDescent="0.3">
      <c r="A124" s="13">
        <v>112</v>
      </c>
      <c r="B124" s="13" t="str">
        <f>+VLOOKUP(A124,'[1]PA 2023'!$A$8:$E$84,5)</f>
        <v>Mantener a 284 habitantes de calle con atención integral en la cual se incluya la prestación de servicios básicos.</v>
      </c>
      <c r="C124" s="14">
        <v>2020680010050</v>
      </c>
      <c r="D124" s="14" t="str">
        <f>+VLOOKUP(C124,'[1]PA 2023'!$G$8:$H$84,2,FALSE)</f>
        <v>DESARROLLO DE ACCIONES ENCAMINADAS A GENERAR ATENCIÓN INTEGRAL HACIA LA POBLACIÓN HABITANTES EN SITUACIÓN DE CALLE DEL MUNICIPIO DE BUCARAMANGA</v>
      </c>
      <c r="E124" s="13" t="s">
        <v>442</v>
      </c>
      <c r="F124" s="15">
        <v>118</v>
      </c>
      <c r="G124" s="22" t="s">
        <v>177</v>
      </c>
      <c r="H124" s="21" t="s">
        <v>178</v>
      </c>
      <c r="I124" s="13" t="s">
        <v>429</v>
      </c>
      <c r="J124" s="13" t="s">
        <v>180</v>
      </c>
      <c r="K124" s="16">
        <v>44959</v>
      </c>
      <c r="L124" s="17">
        <v>52815091</v>
      </c>
      <c r="M124" s="17">
        <v>52815091</v>
      </c>
      <c r="N124" s="18">
        <f>7645600+3646750</f>
        <v>11292350</v>
      </c>
      <c r="O124" s="22" t="s">
        <v>443</v>
      </c>
      <c r="Q124" s="13">
        <v>1850</v>
      </c>
      <c r="R124" s="23" t="s">
        <v>161</v>
      </c>
      <c r="S124" s="13" t="s">
        <v>431</v>
      </c>
      <c r="T124" s="13" t="s">
        <v>16</v>
      </c>
      <c r="U124" s="17">
        <f>+M124-N124+M737</f>
        <v>50888741</v>
      </c>
    </row>
    <row r="125" spans="1:21" x14ac:dyDescent="0.3">
      <c r="A125" s="13">
        <v>93</v>
      </c>
      <c r="B125" s="13" t="str">
        <f>+VLOOKUP(A125,'[1]PA 2023'!$A$8:$E$84,5)</f>
        <v>Mantener en funcionamiento los 3 Centros Vida con la prestacion de servicios integrales y/o dotacion de los mismos cumpliendo con la oferta institucional.</v>
      </c>
      <c r="C125" s="14">
        <v>2020680010040</v>
      </c>
      <c r="D125" s="14" t="str">
        <f>+VLOOKUP(C125,'[1]PA 2023'!$G$8:$H$84,2,FALSE)</f>
        <v>IMPLEMENTACIÓN DE ACCIONES TENDIENTES A MEJORAR LAS CONDICIONES DE LOS ADULTOS MAYORES DEL MUNICIPIO DE BUCARAMANGA</v>
      </c>
      <c r="E125" s="13" t="s">
        <v>444</v>
      </c>
      <c r="F125" s="15" t="s">
        <v>22</v>
      </c>
      <c r="G125" s="22" t="s">
        <v>23</v>
      </c>
      <c r="H125" s="21" t="s">
        <v>23</v>
      </c>
      <c r="I125" s="13" t="s">
        <v>260</v>
      </c>
      <c r="J125" s="13" t="s">
        <v>25</v>
      </c>
      <c r="K125" s="16">
        <v>44959</v>
      </c>
      <c r="L125" s="17">
        <v>2836748</v>
      </c>
      <c r="M125" s="17">
        <v>2836748</v>
      </c>
      <c r="N125" s="18">
        <v>2836748</v>
      </c>
      <c r="O125" s="15" t="s">
        <v>23</v>
      </c>
      <c r="Q125" s="13">
        <v>1908</v>
      </c>
      <c r="R125" s="13" t="s">
        <v>26</v>
      </c>
      <c r="S125" s="13" t="s">
        <v>261</v>
      </c>
      <c r="T125" s="13" t="s">
        <v>16</v>
      </c>
      <c r="U125" s="17">
        <f>+M125-N125</f>
        <v>0</v>
      </c>
    </row>
    <row r="126" spans="1:21" x14ac:dyDescent="0.3">
      <c r="A126" s="13">
        <v>78</v>
      </c>
      <c r="B126" s="13" t="str">
        <f>+VLOOKUP(A126,'[1]PA 2023'!$A$8:$E$84,5)</f>
        <v>Formular e implementar 1 ruta de atención integral para niños, niñas, adolescentes refugiados y migrantes y sus familias.</v>
      </c>
      <c r="C126" s="14">
        <v>2022680010056</v>
      </c>
      <c r="D126" s="14" t="str">
        <f>+VLOOKUP(C126,'[1]PA 2023'!$G$8:$H$84,2,FALSE)</f>
        <v>APOYO EN LOS PROCESOS DE ATENCIÓN INTEGRAL DE LOS NIÑOS Y NIÑAS EN EL ESPACIO DE CUIDADO Y ALBERGUE "CASA BÚHO" EN EL MUNICIPIO DE BUCARAMANGA</v>
      </c>
      <c r="E126" s="13" t="s">
        <v>445</v>
      </c>
      <c r="F126" s="15">
        <v>1084</v>
      </c>
      <c r="G126" s="21" t="s">
        <v>35</v>
      </c>
      <c r="H126" s="21" t="s">
        <v>36</v>
      </c>
      <c r="I126" s="13" t="s">
        <v>446</v>
      </c>
      <c r="J126" s="13" t="s">
        <v>168</v>
      </c>
      <c r="K126" s="16">
        <v>44959</v>
      </c>
      <c r="L126" s="17">
        <v>8653333.3300000001</v>
      </c>
      <c r="M126" s="17">
        <v>8653333.3300000001</v>
      </c>
      <c r="N126" s="18">
        <f>4253333.33+2200000+2200000</f>
        <v>8653333.3300000001</v>
      </c>
      <c r="O126" s="22" t="s">
        <v>447</v>
      </c>
      <c r="Q126" s="13">
        <v>1915</v>
      </c>
      <c r="R126" s="13" t="s">
        <v>170</v>
      </c>
      <c r="S126" s="13" t="s">
        <v>448</v>
      </c>
      <c r="T126" s="13" t="s">
        <v>16</v>
      </c>
      <c r="U126" s="17">
        <f>+M126-N126</f>
        <v>0</v>
      </c>
    </row>
    <row r="127" spans="1:21" x14ac:dyDescent="0.3">
      <c r="A127" s="13">
        <v>78</v>
      </c>
      <c r="B127" s="13" t="str">
        <f>+VLOOKUP(A127,'[1]PA 2023'!$A$8:$E$84,5)</f>
        <v>Formular e implementar 1 ruta de atención integral para niños, niñas, adolescentes refugiados y migrantes y sus familias.</v>
      </c>
      <c r="C127" s="14">
        <v>2022680010056</v>
      </c>
      <c r="D127" s="14" t="str">
        <f>+VLOOKUP(C127,'[1]PA 2023'!$G$8:$H$84,2,FALSE)</f>
        <v>APOYO EN LOS PROCESOS DE ATENCIÓN INTEGRAL DE LOS NIÑOS Y NIÑAS EN EL ESPACIO DE CUIDADO Y ALBERGUE "CASA BÚHO" EN EL MUNICIPIO DE BUCARAMANGA</v>
      </c>
      <c r="E127" s="13" t="s">
        <v>449</v>
      </c>
      <c r="F127" s="15">
        <v>1083</v>
      </c>
      <c r="G127" s="22" t="s">
        <v>35</v>
      </c>
      <c r="H127" s="21" t="s">
        <v>36</v>
      </c>
      <c r="I127" s="13" t="s">
        <v>450</v>
      </c>
      <c r="J127" s="13" t="s">
        <v>168</v>
      </c>
      <c r="K127" s="16">
        <v>44959</v>
      </c>
      <c r="L127" s="17">
        <v>8433333.3300000001</v>
      </c>
      <c r="M127" s="17">
        <v>8433333.3300000001</v>
      </c>
      <c r="N127" s="18">
        <f>4253333.33+1980000+2200000</f>
        <v>8433333.3300000001</v>
      </c>
      <c r="O127" s="22" t="s">
        <v>451</v>
      </c>
      <c r="Q127" s="13">
        <v>1916</v>
      </c>
      <c r="R127" s="13" t="s">
        <v>170</v>
      </c>
      <c r="S127" s="13" t="s">
        <v>452</v>
      </c>
      <c r="T127" s="13" t="s">
        <v>16</v>
      </c>
      <c r="U127" s="17">
        <f>+M127-N127</f>
        <v>0</v>
      </c>
    </row>
    <row r="128" spans="1:21" x14ac:dyDescent="0.3">
      <c r="A128" s="13">
        <v>107</v>
      </c>
      <c r="B128" s="13" t="str">
        <f>+VLOOKUP(A128,'[1]PA 2023'!$A$8:$E$84,5)</f>
        <v>Formular e implementar 1 política pública para la población con orientación sexual e identidad de género diversa.</v>
      </c>
      <c r="C128" s="14">
        <v>2020680010106</v>
      </c>
      <c r="D128" s="14" t="str">
        <f>+VLOOKUP(C128,'[1]PA 2023'!$G$8:$H$84,2,FALSE)</f>
        <v>FORTALECIMIENTO DE ESPACIOS DE PARTICIPACIÓN Y PREVENCIÓN DE VIOLENCIAS EN MUJERES Y POBLACIÓN CON ORIENTACIONES SEXUALES E IDENTIDADES DE GÉNERO DIVERSAS DEL MUNICIPIO DE BUCARAMANGA</v>
      </c>
      <c r="E128" s="13" t="s">
        <v>453</v>
      </c>
      <c r="F128" s="15">
        <v>1090</v>
      </c>
      <c r="G128" s="21" t="s">
        <v>43</v>
      </c>
      <c r="H128" s="21" t="s">
        <v>36</v>
      </c>
      <c r="I128" s="13" t="s">
        <v>454</v>
      </c>
      <c r="J128" s="13" t="s">
        <v>378</v>
      </c>
      <c r="K128" s="16">
        <v>44959</v>
      </c>
      <c r="L128" s="17">
        <v>13416666.67</v>
      </c>
      <c r="M128" s="17">
        <v>13416666.67</v>
      </c>
      <c r="N128" s="18">
        <f>6766666.67+3500000+3150000</f>
        <v>13416666.67</v>
      </c>
      <c r="O128" s="22" t="s">
        <v>455</v>
      </c>
      <c r="Q128" s="13">
        <v>1917</v>
      </c>
      <c r="R128" s="13" t="s">
        <v>380</v>
      </c>
      <c r="S128" s="13" t="s">
        <v>456</v>
      </c>
      <c r="T128" s="13" t="s">
        <v>16</v>
      </c>
      <c r="U128" s="17">
        <f>+M128-N128</f>
        <v>0</v>
      </c>
    </row>
    <row r="129" spans="1:21" x14ac:dyDescent="0.3">
      <c r="A129" s="13">
        <v>112</v>
      </c>
      <c r="B129" s="13" t="str">
        <f>+VLOOKUP(A129,'[1]PA 2023'!$A$8:$E$84,5)</f>
        <v>Mantener a 284 habitantes de calle con atención integral en la cual se incluya la prestación de servicios básicos.</v>
      </c>
      <c r="C129" s="14">
        <v>2020680010050</v>
      </c>
      <c r="D129" s="14" t="str">
        <f>+VLOOKUP(C129,'[1]PA 2023'!$G$8:$H$84,2,FALSE)</f>
        <v>DESARROLLO DE ACCIONES ENCAMINADAS A GENERAR ATENCIÓN INTEGRAL HACIA LA POBLACIÓN HABITANTES EN SITUACIÓN DE CALLE DEL MUNICIPIO DE BUCARAMANGA</v>
      </c>
      <c r="E129" s="13" t="s">
        <v>457</v>
      </c>
      <c r="F129" s="15">
        <v>254</v>
      </c>
      <c r="G129" s="22" t="s">
        <v>184</v>
      </c>
      <c r="H129" s="21" t="s">
        <v>185</v>
      </c>
      <c r="I129" s="13" t="s">
        <v>435</v>
      </c>
      <c r="J129" s="13" t="s">
        <v>180</v>
      </c>
      <c r="K129" s="16">
        <v>44959</v>
      </c>
      <c r="L129" s="17">
        <v>202074628</v>
      </c>
      <c r="M129" s="17">
        <v>202074628</v>
      </c>
      <c r="N129" s="18">
        <f>122257216+69251793</f>
        <v>191509009</v>
      </c>
      <c r="O129" s="22" t="s">
        <v>458</v>
      </c>
      <c r="Q129" s="13">
        <v>1922</v>
      </c>
      <c r="R129" s="23" t="s">
        <v>161</v>
      </c>
      <c r="S129" s="13" t="s">
        <v>437</v>
      </c>
      <c r="T129" s="13" t="s">
        <v>16</v>
      </c>
      <c r="U129" s="17">
        <f>+M129-N129+M372</f>
        <v>107089419</v>
      </c>
    </row>
    <row r="130" spans="1:21" x14ac:dyDescent="0.3">
      <c r="A130" s="13">
        <v>92</v>
      </c>
      <c r="B130" s="13" t="str">
        <f>+VLOOKUP(A130,'[1]PA 2023'!$A$8:$E$84,5)</f>
        <v>Mantener a 1.656 personas mayores vulnerables con atencion integral en instituciones especializadas a través de las modalidades centros vida y centros de bienestar en el marco de la Ley 1276 de 2009.</v>
      </c>
      <c r="C130" s="14">
        <v>2020680010040</v>
      </c>
      <c r="D130" s="14" t="str">
        <f>+VLOOKUP(C130,'[1]PA 2023'!$G$8:$H$84,2,FALSE)</f>
        <v>IMPLEMENTACIÓN DE ACCIONES TENDIENTES A MEJORAR LAS CONDICIONES DE LOS ADULTOS MAYORES DEL MUNICIPIO DE BUCARAMANGA</v>
      </c>
      <c r="E130" s="13" t="s">
        <v>424</v>
      </c>
      <c r="F130" s="15">
        <v>158</v>
      </c>
      <c r="G130" s="22" t="s">
        <v>184</v>
      </c>
      <c r="H130" s="21" t="s">
        <v>185</v>
      </c>
      <c r="I130" s="13" t="s">
        <v>425</v>
      </c>
      <c r="J130" s="13" t="s">
        <v>384</v>
      </c>
      <c r="K130" s="16">
        <v>44959</v>
      </c>
      <c r="L130" s="17">
        <v>36540000</v>
      </c>
      <c r="M130" s="17">
        <v>36540000</v>
      </c>
      <c r="N130" s="18">
        <f>12698000+11088000+11606000</f>
        <v>35392000</v>
      </c>
      <c r="O130" s="22" t="s">
        <v>426</v>
      </c>
      <c r="Q130" s="13">
        <v>1923</v>
      </c>
      <c r="R130" s="23" t="s">
        <v>386</v>
      </c>
      <c r="S130" s="13" t="s">
        <v>427</v>
      </c>
      <c r="T130" s="13" t="s">
        <v>16</v>
      </c>
      <c r="U130" s="17">
        <f>+M130-N130+M683</f>
        <v>25148000</v>
      </c>
    </row>
    <row r="131" spans="1:21" x14ac:dyDescent="0.3">
      <c r="A131" s="13">
        <v>300</v>
      </c>
      <c r="B131" s="13" t="str">
        <f>+VLOOKUP(A131,'[1]PA 2023'!$A$8:$E$84,5)</f>
        <v>Mantener el 100% de los programas que desarrolla la Administración Central.</v>
      </c>
      <c r="C131" s="14">
        <v>2020680010025</v>
      </c>
      <c r="D131" s="14" t="str">
        <f>+VLOOKUP(C131,'[1]PA 2023'!$G$8:$H$84,2,FALSE)</f>
        <v>MEJORAMIENTO DE LOS PROCESOS TRANSVERSALES PARA UNA ADMINISTRACIÓN PUBLICA MODERNA Y EFICIENTE EN LA SECRETARÍA DE DESARROLLO SOCIAL DEL MUNICIPIO BUCARAMANGA</v>
      </c>
      <c r="E131" s="13" t="s">
        <v>459</v>
      </c>
      <c r="F131" s="15">
        <v>1096</v>
      </c>
      <c r="G131" s="21" t="s">
        <v>43</v>
      </c>
      <c r="H131" s="21" t="s">
        <v>36</v>
      </c>
      <c r="I131" s="13" t="s">
        <v>460</v>
      </c>
      <c r="J131" s="13" t="s">
        <v>38</v>
      </c>
      <c r="K131" s="16">
        <v>44959</v>
      </c>
      <c r="L131" s="17">
        <v>11500000</v>
      </c>
      <c r="M131" s="17">
        <v>11500000</v>
      </c>
      <c r="N131" s="18">
        <f>5800000+3000000+2700000</f>
        <v>11500000</v>
      </c>
      <c r="O131" s="22" t="s">
        <v>461</v>
      </c>
      <c r="Q131" s="13">
        <v>1924</v>
      </c>
      <c r="R131" s="13" t="s">
        <v>40</v>
      </c>
      <c r="S131" s="13" t="s">
        <v>462</v>
      </c>
      <c r="T131" s="13" t="s">
        <v>16</v>
      </c>
      <c r="U131" s="17">
        <f t="shared" ref="U131:U137" si="5">+M131-N131</f>
        <v>0</v>
      </c>
    </row>
    <row r="132" spans="1:21" x14ac:dyDescent="0.3">
      <c r="A132" s="13">
        <v>71</v>
      </c>
      <c r="B132" s="13" t="str">
        <f>+VLOOKUP(A132,'[1]PA 2023'!$A$8:$E$84,5)</f>
        <v>Formular e implementar 1 estrategia de corresponsabilidad en la garantía de derechos, la prevención de vulneración, amenaza o riesgo en el ámbito familiar, comunitario e institucional.</v>
      </c>
      <c r="C132" s="14">
        <v>2021680010003</v>
      </c>
      <c r="D132" s="14" t="str">
        <f>+VLOOKUP(C132,'[1]PA 2023'!$G$8:$H$84,2,FALSE)</f>
        <v>IMPLEMENTACIÓN DE ESTRATEGIAS PSICOPEDAGÓGICAS PARA LA DISMINUCIÓN DE FACTORES DE RIESGO EN NIÑOS, NIÑAS Y ADOLESCENTES EN EL MUNICIPIO DE BUCARAMANGA</v>
      </c>
      <c r="E132" s="13" t="s">
        <v>463</v>
      </c>
      <c r="F132" s="15">
        <v>1098</v>
      </c>
      <c r="G132" s="21" t="s">
        <v>43</v>
      </c>
      <c r="H132" s="21" t="s">
        <v>36</v>
      </c>
      <c r="I132" s="13" t="s">
        <v>464</v>
      </c>
      <c r="J132" s="13" t="s">
        <v>212</v>
      </c>
      <c r="K132" s="16">
        <v>44959</v>
      </c>
      <c r="L132" s="17">
        <v>13416667</v>
      </c>
      <c r="M132" s="17">
        <v>13416667</v>
      </c>
      <c r="N132" s="18">
        <f>6766666.84+3500000.09+3150000.07</f>
        <v>13416667</v>
      </c>
      <c r="O132" s="22" t="s">
        <v>465</v>
      </c>
      <c r="Q132" s="13">
        <v>1925</v>
      </c>
      <c r="R132" s="13" t="s">
        <v>164</v>
      </c>
      <c r="S132" s="13" t="s">
        <v>466</v>
      </c>
      <c r="T132" s="13" t="s">
        <v>16</v>
      </c>
      <c r="U132" s="17">
        <f t="shared" si="5"/>
        <v>0</v>
      </c>
    </row>
    <row r="133" spans="1:21" x14ac:dyDescent="0.3">
      <c r="A133" s="13">
        <v>285</v>
      </c>
      <c r="B133" s="13" t="str">
        <f>+VLOOKUP(A133,'[1]PA 2023'!$A$8:$E$84,5)</f>
        <v>Mantener en funcionamiento el 100% de los salones comunales que hacen parte del programa Ágoras.</v>
      </c>
      <c r="C133" s="14">
        <v>2022680010029</v>
      </c>
      <c r="D133" s="14" t="str">
        <f>+VLOOKUP(C133,'[1]PA 2023'!$G$8:$H$84,2,FALSE)</f>
        <v>FORTALECIMIENTO DE LA PARTICIPACIÓN CIUDADANA EN EL MUNICIPIO DE BUCARAMANGA</v>
      </c>
      <c r="E133" s="13" t="s">
        <v>467</v>
      </c>
      <c r="F133" s="15" t="s">
        <v>22</v>
      </c>
      <c r="G133" s="22" t="s">
        <v>23</v>
      </c>
      <c r="H133" s="21" t="s">
        <v>23</v>
      </c>
      <c r="I133" s="13" t="s">
        <v>260</v>
      </c>
      <c r="J133" s="13" t="s">
        <v>468</v>
      </c>
      <c r="K133" s="16">
        <v>44959</v>
      </c>
      <c r="L133" s="17">
        <v>127233</v>
      </c>
      <c r="M133" s="17">
        <v>127233</v>
      </c>
      <c r="N133" s="18">
        <v>127233</v>
      </c>
      <c r="O133" s="15" t="s">
        <v>23</v>
      </c>
      <c r="Q133" s="13">
        <v>1927</v>
      </c>
      <c r="R133" s="13" t="s">
        <v>134</v>
      </c>
      <c r="S133" s="13" t="s">
        <v>261</v>
      </c>
      <c r="T133" s="13" t="s">
        <v>16</v>
      </c>
      <c r="U133" s="17">
        <f t="shared" si="5"/>
        <v>0</v>
      </c>
    </row>
    <row r="134" spans="1:21" x14ac:dyDescent="0.3">
      <c r="A134" s="13">
        <v>285</v>
      </c>
      <c r="B134" s="13" t="str">
        <f>+VLOOKUP(A134,'[1]PA 2023'!$A$8:$E$84,5)</f>
        <v>Mantener en funcionamiento el 100% de los salones comunales que hacen parte del programa Ágoras.</v>
      </c>
      <c r="C134" s="14">
        <v>2022680010029</v>
      </c>
      <c r="D134" s="14" t="str">
        <f>+VLOOKUP(C134,'[1]PA 2023'!$G$8:$H$84,2,FALSE)</f>
        <v>FORTALECIMIENTO DE LA PARTICIPACIÓN CIUDADANA EN EL MUNICIPIO DE BUCARAMANGA</v>
      </c>
      <c r="E134" s="13" t="s">
        <v>469</v>
      </c>
      <c r="F134" s="15" t="s">
        <v>22</v>
      </c>
      <c r="G134" s="22" t="s">
        <v>23</v>
      </c>
      <c r="H134" s="21" t="s">
        <v>23</v>
      </c>
      <c r="I134" s="13" t="s">
        <v>470</v>
      </c>
      <c r="J134" s="13" t="s">
        <v>468</v>
      </c>
      <c r="K134" s="16">
        <v>44959</v>
      </c>
      <c r="L134" s="17">
        <v>140403.07</v>
      </c>
      <c r="M134" s="17">
        <v>140403.07</v>
      </c>
      <c r="N134" s="18">
        <v>140403.07</v>
      </c>
      <c r="O134" s="15" t="s">
        <v>23</v>
      </c>
      <c r="Q134" s="13">
        <v>1928</v>
      </c>
      <c r="R134" s="23" t="s">
        <v>134</v>
      </c>
      <c r="S134" s="13" t="s">
        <v>471</v>
      </c>
      <c r="T134" s="13" t="s">
        <v>16</v>
      </c>
      <c r="U134" s="17">
        <f t="shared" si="5"/>
        <v>0</v>
      </c>
    </row>
    <row r="135" spans="1:21" x14ac:dyDescent="0.3">
      <c r="A135" s="13">
        <v>93</v>
      </c>
      <c r="B135" s="13" t="str">
        <f>+VLOOKUP(A135,'[1]PA 2023'!$A$8:$E$84,5)</f>
        <v>Mantener en funcionamiento los 3 Centros Vida con la prestacion de servicios integrales y/o dotacion de los mismos cumpliendo con la oferta institucional.</v>
      </c>
      <c r="C135" s="14">
        <v>2020680010040</v>
      </c>
      <c r="D135" s="14" t="str">
        <f>+VLOOKUP(C135,'[1]PA 2023'!$G$8:$H$84,2,FALSE)</f>
        <v>IMPLEMENTACIÓN DE ACCIONES TENDIENTES A MEJORAR LAS CONDICIONES DE LOS ADULTOS MAYORES DEL MUNICIPIO DE BUCARAMANGA</v>
      </c>
      <c r="E135" s="13" t="s">
        <v>469</v>
      </c>
      <c r="F135" s="15" t="s">
        <v>22</v>
      </c>
      <c r="G135" s="22" t="s">
        <v>23</v>
      </c>
      <c r="H135" s="21" t="s">
        <v>23</v>
      </c>
      <c r="I135" s="13" t="s">
        <v>470</v>
      </c>
      <c r="J135" s="13" t="s">
        <v>25</v>
      </c>
      <c r="K135" s="16">
        <v>44959</v>
      </c>
      <c r="L135" s="17">
        <v>255464.59</v>
      </c>
      <c r="M135" s="17">
        <v>255464.59</v>
      </c>
      <c r="N135" s="18">
        <v>255464.59</v>
      </c>
      <c r="O135" s="15" t="s">
        <v>23</v>
      </c>
      <c r="Q135" s="13">
        <v>1928</v>
      </c>
      <c r="R135" s="23" t="s">
        <v>26</v>
      </c>
      <c r="S135" s="13" t="s">
        <v>471</v>
      </c>
      <c r="T135" s="13" t="s">
        <v>16</v>
      </c>
      <c r="U135" s="17">
        <f t="shared" si="5"/>
        <v>0</v>
      </c>
    </row>
    <row r="136" spans="1:21" x14ac:dyDescent="0.3">
      <c r="A136" s="13">
        <v>98</v>
      </c>
      <c r="B136" s="13" t="str">
        <f>+VLOOKUP(A136,'[1]PA 2023'!$A$8:$E$84,5)</f>
        <v>Mantener el 100% del apoyo logístico a las familias beneficiadas del programa Familias en Acción.</v>
      </c>
      <c r="C136" s="14">
        <v>2020680010072</v>
      </c>
      <c r="D136" s="14" t="str">
        <f>+VLOOKUP(C136,'[1]PA 2023'!$G$8:$H$84,2,FALSE)</f>
        <v>APOYO A LA OPERATIVIDAD DEL PROGRAMA NACIONAL MÁS FAMILIAS EN ACCIÓN EN EL MUNICIPIO DE BUCARAMANGA</v>
      </c>
      <c r="E136" s="13" t="s">
        <v>469</v>
      </c>
      <c r="F136" s="15" t="s">
        <v>22</v>
      </c>
      <c r="G136" s="22" t="s">
        <v>23</v>
      </c>
      <c r="H136" s="21" t="s">
        <v>23</v>
      </c>
      <c r="I136" s="13" t="s">
        <v>470</v>
      </c>
      <c r="J136" s="13" t="s">
        <v>472</v>
      </c>
      <c r="K136" s="16">
        <v>44959</v>
      </c>
      <c r="L136" s="17">
        <v>140403.07</v>
      </c>
      <c r="M136" s="17">
        <v>140403.07</v>
      </c>
      <c r="N136" s="18">
        <v>140403.07</v>
      </c>
      <c r="O136" s="15" t="s">
        <v>23</v>
      </c>
      <c r="Q136" s="13">
        <v>1928</v>
      </c>
      <c r="R136" s="23" t="s">
        <v>473</v>
      </c>
      <c r="S136" s="13" t="s">
        <v>471</v>
      </c>
      <c r="T136" s="13" t="s">
        <v>16</v>
      </c>
      <c r="U136" s="17">
        <f t="shared" si="5"/>
        <v>0</v>
      </c>
    </row>
    <row r="137" spans="1:21" x14ac:dyDescent="0.3">
      <c r="A137" s="13">
        <v>110</v>
      </c>
      <c r="B137" s="13" t="str">
        <f>+VLOOKUP(A137,'[1]PA 2023'!$A$8:$E$84,5)</f>
        <v>Atender el 100% de la solicitudes realizadas por éste grupo poblacional y sus familias con orientación psicosocial y jurídica.</v>
      </c>
      <c r="C137" s="14">
        <v>2020680010106</v>
      </c>
      <c r="D137" s="14" t="str">
        <f>+VLOOKUP(C137,'[1]PA 2023'!$G$8:$H$84,2,FALSE)</f>
        <v>FORTALECIMIENTO DE ESPACIOS DE PARTICIPACIÓN Y PREVENCIÓN DE VIOLENCIAS EN MUJERES Y POBLACIÓN CON ORIENTACIONES SEXUALES E IDENTIDADES DE GÉNERO DIVERSAS DEL MUNICIPIO DE BUCARAMANGA</v>
      </c>
      <c r="E137" s="13" t="s">
        <v>474</v>
      </c>
      <c r="F137" s="15">
        <v>1093</v>
      </c>
      <c r="G137" s="21" t="s">
        <v>43</v>
      </c>
      <c r="H137" s="21" t="s">
        <v>36</v>
      </c>
      <c r="I137" s="13" t="s">
        <v>475</v>
      </c>
      <c r="J137" s="13" t="s">
        <v>378</v>
      </c>
      <c r="K137" s="16">
        <v>44960</v>
      </c>
      <c r="L137" s="17">
        <v>15333333.33</v>
      </c>
      <c r="M137" s="17">
        <v>15333333.33</v>
      </c>
      <c r="N137" s="18">
        <f>7733333.33+4000000+3600000</f>
        <v>15333333.33</v>
      </c>
      <c r="O137" s="22" t="s">
        <v>476</v>
      </c>
      <c r="Q137" s="13">
        <v>1929</v>
      </c>
      <c r="R137" s="13" t="s">
        <v>380</v>
      </c>
      <c r="S137" s="13" t="s">
        <v>477</v>
      </c>
      <c r="T137" s="13" t="s">
        <v>16</v>
      </c>
      <c r="U137" s="17">
        <f t="shared" si="5"/>
        <v>0</v>
      </c>
    </row>
    <row r="138" spans="1:21" x14ac:dyDescent="0.3">
      <c r="A138" s="13">
        <v>92</v>
      </c>
      <c r="B138" s="13" t="str">
        <f>+VLOOKUP(A138,'[1]PA 2023'!$A$8:$E$84,5)</f>
        <v>Mantener a 1.656 personas mayores vulnerables con atencion integral en instituciones especializadas a través de las modalidades centros vida y centros de bienestar en el marco de la Ley 1276 de 2009.</v>
      </c>
      <c r="C138" s="14">
        <v>2020680010040</v>
      </c>
      <c r="D138" s="14" t="str">
        <f>+VLOOKUP(C138,'[1]PA 2023'!$G$8:$H$84,2,FALSE)</f>
        <v>IMPLEMENTACIÓN DE ACCIONES TENDIENTES A MEJORAR LAS CONDICIONES DE LOS ADULTOS MAYORES DEL MUNICIPIO DE BUCARAMANGA</v>
      </c>
      <c r="E138" s="13" t="s">
        <v>478</v>
      </c>
      <c r="F138" s="15">
        <v>157</v>
      </c>
      <c r="G138" s="22" t="s">
        <v>184</v>
      </c>
      <c r="H138" s="21" t="s">
        <v>185</v>
      </c>
      <c r="I138" s="13" t="s">
        <v>479</v>
      </c>
      <c r="J138" s="13" t="s">
        <v>384</v>
      </c>
      <c r="K138" s="16">
        <v>44960</v>
      </c>
      <c r="L138" s="17">
        <v>115584000</v>
      </c>
      <c r="M138" s="17">
        <v>115584000</v>
      </c>
      <c r="N138" s="18">
        <f>37912000+33726000+33068000</f>
        <v>104706000</v>
      </c>
      <c r="O138" s="22" t="s">
        <v>480</v>
      </c>
      <c r="Q138" s="13">
        <v>1957</v>
      </c>
      <c r="R138" s="23" t="s">
        <v>386</v>
      </c>
      <c r="S138" s="13" t="s">
        <v>481</v>
      </c>
      <c r="T138" s="13" t="s">
        <v>16</v>
      </c>
      <c r="U138" s="17">
        <f>+M138-N138+M503</f>
        <v>39228000</v>
      </c>
    </row>
    <row r="139" spans="1:21" x14ac:dyDescent="0.3">
      <c r="A139" s="13">
        <v>92</v>
      </c>
      <c r="B139" s="13" t="str">
        <f>+VLOOKUP(A139,'[1]PA 2023'!$A$8:$E$84,5)</f>
        <v>Mantener a 1.656 personas mayores vulnerables con atencion integral en instituciones especializadas a través de las modalidades centros vida y centros de bienestar en el marco de la Ley 1276 de 2009.</v>
      </c>
      <c r="C139" s="14">
        <v>2020680010040</v>
      </c>
      <c r="D139" s="14" t="str">
        <f>+VLOOKUP(C139,'[1]PA 2023'!$G$8:$H$84,2,FALSE)</f>
        <v>IMPLEMENTACIÓN DE ACCIONES TENDIENTES A MEJORAR LAS CONDICIONES DE LOS ADULTOS MAYORES DEL MUNICIPIO DE BUCARAMANGA</v>
      </c>
      <c r="E139" s="13" t="s">
        <v>478</v>
      </c>
      <c r="F139" s="15">
        <v>157</v>
      </c>
      <c r="G139" s="22" t="s">
        <v>184</v>
      </c>
      <c r="H139" s="21" t="s">
        <v>185</v>
      </c>
      <c r="I139" s="13" t="s">
        <v>479</v>
      </c>
      <c r="J139" s="13" t="s">
        <v>372</v>
      </c>
      <c r="K139" s="16">
        <v>44960</v>
      </c>
      <c r="L139" s="17">
        <v>44290000</v>
      </c>
      <c r="M139" s="17">
        <v>44290000</v>
      </c>
      <c r="N139" s="18">
        <f>15645700+14409700+13905000</f>
        <v>43960400</v>
      </c>
      <c r="O139" s="22" t="s">
        <v>480</v>
      </c>
      <c r="Q139" s="13">
        <v>1958</v>
      </c>
      <c r="R139" s="23" t="s">
        <v>374</v>
      </c>
      <c r="S139" s="13" t="s">
        <v>481</v>
      </c>
      <c r="T139" s="13" t="s">
        <v>16</v>
      </c>
      <c r="U139" s="17">
        <f>+M139-N139+M517</f>
        <v>0</v>
      </c>
    </row>
    <row r="140" spans="1:21" x14ac:dyDescent="0.3">
      <c r="A140" s="13">
        <v>102</v>
      </c>
      <c r="B140" s="13" t="str">
        <f>+VLOOKUP(A140,'[1]PA 2023'!$A$8:$E$84,5)</f>
        <v>Mantener y fortalecer la ruta de atención a víctimas de acoso sexual y violencia de género a través redes comunitarias de prevención en zonas priorizadas del área rural y urbana de la ciudad y consolidación de alianzas con otras entidades.</v>
      </c>
      <c r="C140" s="14">
        <v>2020680010106</v>
      </c>
      <c r="D140" s="14" t="str">
        <f>+VLOOKUP(C140,'[1]PA 2023'!$G$8:$H$84,2,FALSE)</f>
        <v>FORTALECIMIENTO DE ESPACIOS DE PARTICIPACIÓN Y PREVENCIÓN DE VIOLENCIAS EN MUJERES Y POBLACIÓN CON ORIENTACIONES SEXUALES E IDENTIDADES DE GÉNERO DIVERSAS DEL MUNICIPIO DE BUCARAMANGA</v>
      </c>
      <c r="E140" s="13" t="s">
        <v>482</v>
      </c>
      <c r="F140" s="15">
        <v>1119</v>
      </c>
      <c r="G140" s="21" t="s">
        <v>43</v>
      </c>
      <c r="H140" s="21" t="s">
        <v>36</v>
      </c>
      <c r="I140" s="13" t="s">
        <v>483</v>
      </c>
      <c r="J140" s="13" t="s">
        <v>378</v>
      </c>
      <c r="K140" s="16">
        <v>44960</v>
      </c>
      <c r="L140" s="17">
        <v>17250000</v>
      </c>
      <c r="M140" s="17">
        <v>17250000</v>
      </c>
      <c r="N140" s="18">
        <f>8700000+4500000+4050000</f>
        <v>17250000</v>
      </c>
      <c r="O140" s="22" t="s">
        <v>484</v>
      </c>
      <c r="Q140" s="13">
        <v>1963</v>
      </c>
      <c r="R140" s="13" t="s">
        <v>380</v>
      </c>
      <c r="S140" s="13" t="s">
        <v>485</v>
      </c>
      <c r="T140" s="13" t="s">
        <v>16</v>
      </c>
      <c r="U140" s="17">
        <f t="shared" ref="U140:U150" si="6">+M140-N140</f>
        <v>0</v>
      </c>
    </row>
    <row r="141" spans="1:21" x14ac:dyDescent="0.3">
      <c r="A141" s="13">
        <v>107</v>
      </c>
      <c r="B141" s="13" t="str">
        <f>+VLOOKUP(A141,'[1]PA 2023'!$A$8:$E$84,5)</f>
        <v>Formular e implementar 1 política pública para la población con orientación sexual e identidad de género diversa.</v>
      </c>
      <c r="C141" s="14">
        <v>2020680010106</v>
      </c>
      <c r="D141" s="14" t="str">
        <f>+VLOOKUP(C141,'[1]PA 2023'!$G$8:$H$84,2,FALSE)</f>
        <v>FORTALECIMIENTO DE ESPACIOS DE PARTICIPACIÓN Y PREVENCIÓN DE VIOLENCIAS EN MUJERES Y POBLACIÓN CON ORIENTACIONES SEXUALES E IDENTIDADES DE GÉNERO DIVERSAS DEL MUNICIPIO DE BUCARAMANGA</v>
      </c>
      <c r="E141" s="13" t="s">
        <v>486</v>
      </c>
      <c r="F141" s="15">
        <v>1118</v>
      </c>
      <c r="G141" s="21" t="s">
        <v>35</v>
      </c>
      <c r="H141" s="21" t="s">
        <v>36</v>
      </c>
      <c r="I141" s="13" t="s">
        <v>487</v>
      </c>
      <c r="J141" s="13" t="s">
        <v>378</v>
      </c>
      <c r="K141" s="16">
        <v>44960</v>
      </c>
      <c r="L141" s="17">
        <v>7666666.6699999999</v>
      </c>
      <c r="M141" s="17">
        <v>7666666.6699999999</v>
      </c>
      <c r="N141" s="18">
        <f>3866666.67+2000000+1800000</f>
        <v>7666666.6699999999</v>
      </c>
      <c r="O141" s="22" t="s">
        <v>488</v>
      </c>
      <c r="Q141" s="13">
        <v>1964</v>
      </c>
      <c r="R141" s="13" t="s">
        <v>380</v>
      </c>
      <c r="S141" s="13" t="s">
        <v>489</v>
      </c>
      <c r="T141" s="13" t="s">
        <v>16</v>
      </c>
      <c r="U141" s="17">
        <f t="shared" si="6"/>
        <v>0</v>
      </c>
    </row>
    <row r="142" spans="1:21" x14ac:dyDescent="0.3">
      <c r="A142" s="13">
        <v>109</v>
      </c>
      <c r="B142" s="13" t="str">
        <f>+VLOOKUP(A142,'[1]PA 2023'!$A$8:$E$84,5)</f>
        <v>Establecer el centro para la atención integral de mujeres y población con orientaciones sexuales e identidades de género diversas a fin de garantizar el fortalecimiento de los procesos de atención, encuentro y empoderamiento.</v>
      </c>
      <c r="C142" s="14">
        <v>2020680010106</v>
      </c>
      <c r="D142" s="14" t="str">
        <f>+VLOOKUP(C142,'[1]PA 2023'!$G$8:$H$84,2,FALSE)</f>
        <v>FORTALECIMIENTO DE ESPACIOS DE PARTICIPACIÓN Y PREVENCIÓN DE VIOLENCIAS EN MUJERES Y POBLACIÓN CON ORIENTACIONES SEXUALES E IDENTIDADES DE GÉNERO DIVERSAS DEL MUNICIPIO DE BUCARAMANGA</v>
      </c>
      <c r="E142" s="13" t="s">
        <v>490</v>
      </c>
      <c r="F142" s="15">
        <v>1121</v>
      </c>
      <c r="G142" s="21" t="s">
        <v>43</v>
      </c>
      <c r="H142" s="21" t="s">
        <v>36</v>
      </c>
      <c r="I142" s="13" t="s">
        <v>491</v>
      </c>
      <c r="J142" s="13" t="s">
        <v>378</v>
      </c>
      <c r="K142" s="16">
        <v>44960</v>
      </c>
      <c r="L142" s="17">
        <v>13416666.67</v>
      </c>
      <c r="M142" s="17">
        <v>13416666.67</v>
      </c>
      <c r="N142" s="18">
        <f>6766666.67+3500000+3150000</f>
        <v>13416666.67</v>
      </c>
      <c r="O142" s="22" t="s">
        <v>492</v>
      </c>
      <c r="Q142" s="13">
        <v>1965</v>
      </c>
      <c r="R142" s="13" t="s">
        <v>380</v>
      </c>
      <c r="S142" s="13" t="s">
        <v>493</v>
      </c>
      <c r="T142" s="13" t="s">
        <v>16</v>
      </c>
      <c r="U142" s="17">
        <f t="shared" si="6"/>
        <v>0</v>
      </c>
    </row>
    <row r="143" spans="1:21" x14ac:dyDescent="0.3">
      <c r="A143" s="13">
        <v>110</v>
      </c>
      <c r="B143" s="13" t="str">
        <f>+VLOOKUP(A143,'[1]PA 2023'!$A$8:$E$84,5)</f>
        <v>Atender el 100% de la solicitudes realizadas por éste grupo poblacional y sus familias con orientación psicosocial y jurídica.</v>
      </c>
      <c r="C143" s="14">
        <v>2020680010106</v>
      </c>
      <c r="D143" s="14" t="str">
        <f>+VLOOKUP(C143,'[1]PA 2023'!$G$8:$H$84,2,FALSE)</f>
        <v>FORTALECIMIENTO DE ESPACIOS DE PARTICIPACIÓN Y PREVENCIÓN DE VIOLENCIAS EN MUJERES Y POBLACIÓN CON ORIENTACIONES SEXUALES E IDENTIDADES DE GÉNERO DIVERSAS DEL MUNICIPIO DE BUCARAMANGA</v>
      </c>
      <c r="E143" s="13" t="s">
        <v>494</v>
      </c>
      <c r="F143" s="15">
        <v>1117</v>
      </c>
      <c r="G143" s="21" t="s">
        <v>43</v>
      </c>
      <c r="H143" s="21" t="s">
        <v>36</v>
      </c>
      <c r="I143" s="13" t="s">
        <v>495</v>
      </c>
      <c r="J143" s="13" t="s">
        <v>378</v>
      </c>
      <c r="K143" s="16">
        <v>44960</v>
      </c>
      <c r="L143" s="17">
        <v>13416666.67</v>
      </c>
      <c r="M143" s="17">
        <v>13416666.67</v>
      </c>
      <c r="N143" s="18">
        <f>6766666.67+3500000+3150000</f>
        <v>13416666.67</v>
      </c>
      <c r="O143" s="22" t="s">
        <v>496</v>
      </c>
      <c r="Q143" s="13">
        <v>1966</v>
      </c>
      <c r="R143" s="13" t="s">
        <v>380</v>
      </c>
      <c r="S143" s="13" t="s">
        <v>497</v>
      </c>
      <c r="T143" s="13" t="s">
        <v>16</v>
      </c>
      <c r="U143" s="17">
        <f t="shared" si="6"/>
        <v>0</v>
      </c>
    </row>
    <row r="144" spans="1:21" x14ac:dyDescent="0.3">
      <c r="A144" s="13">
        <v>101</v>
      </c>
      <c r="B144" s="13" t="str">
        <f>+VLOOKUP(A144,'[1]PA 2023'!$A$8:$E$84,5)</f>
        <v>Atender y mantener de manera integral desde el componente psicosociojurídico y social a 600 mujeres, niñas y personas considerando los enfoques diferenciales y diversidad sexual.</v>
      </c>
      <c r="C144" s="14">
        <v>2020680010106</v>
      </c>
      <c r="D144" s="14" t="str">
        <f>+VLOOKUP(C144,'[1]PA 2023'!$G$8:$H$84,2,FALSE)</f>
        <v>FORTALECIMIENTO DE ESPACIOS DE PARTICIPACIÓN Y PREVENCIÓN DE VIOLENCIAS EN MUJERES Y POBLACIÓN CON ORIENTACIONES SEXUALES E IDENTIDADES DE GÉNERO DIVERSAS DEL MUNICIPIO DE BUCARAMANGA</v>
      </c>
      <c r="E144" s="13" t="s">
        <v>376</v>
      </c>
      <c r="F144" s="15">
        <v>1152</v>
      </c>
      <c r="G144" s="21" t="s">
        <v>43</v>
      </c>
      <c r="H144" s="21" t="s">
        <v>36</v>
      </c>
      <c r="I144" s="13" t="s">
        <v>498</v>
      </c>
      <c r="J144" s="13" t="s">
        <v>378</v>
      </c>
      <c r="K144" s="16">
        <v>44960</v>
      </c>
      <c r="L144" s="17">
        <v>15333333.33</v>
      </c>
      <c r="M144" s="17">
        <v>15333333.33</v>
      </c>
      <c r="N144" s="18">
        <f>7600000+4000000+3733333.33</f>
        <v>15333333.33</v>
      </c>
      <c r="O144" s="22" t="s">
        <v>499</v>
      </c>
      <c r="Q144" s="13">
        <v>1989</v>
      </c>
      <c r="R144" s="13" t="s">
        <v>380</v>
      </c>
      <c r="S144" s="13" t="s">
        <v>500</v>
      </c>
      <c r="T144" s="13" t="s">
        <v>16</v>
      </c>
      <c r="U144" s="17">
        <f t="shared" si="6"/>
        <v>0</v>
      </c>
    </row>
    <row r="145" spans="1:21" x14ac:dyDescent="0.3">
      <c r="A145" s="13">
        <v>105</v>
      </c>
      <c r="B145" s="13" t="str">
        <f>+VLOOKUP(A145,'[1]PA 2023'!$A$8:$E$84,5)</f>
        <v>Mantener el Centro Integral de la Mujer a fin de garantizar el fortalecimiento de los procesos de atención y empoderamiento femenino.</v>
      </c>
      <c r="C145" s="14">
        <v>2020680010106</v>
      </c>
      <c r="D145" s="14" t="str">
        <f>+VLOOKUP(C145,'[1]PA 2023'!$G$8:$H$84,2,FALSE)</f>
        <v>FORTALECIMIENTO DE ESPACIOS DE PARTICIPACIÓN Y PREVENCIÓN DE VIOLENCIAS EN MUJERES Y POBLACIÓN CON ORIENTACIONES SEXUALES E IDENTIDADES DE GÉNERO DIVERSAS DEL MUNICIPIO DE BUCARAMANGA</v>
      </c>
      <c r="E145" s="13" t="s">
        <v>501</v>
      </c>
      <c r="F145" s="15">
        <v>1176</v>
      </c>
      <c r="G145" s="21" t="s">
        <v>43</v>
      </c>
      <c r="H145" s="21" t="s">
        <v>36</v>
      </c>
      <c r="I145" s="13" t="s">
        <v>502</v>
      </c>
      <c r="J145" s="13" t="s">
        <v>378</v>
      </c>
      <c r="K145" s="16">
        <v>44963</v>
      </c>
      <c r="L145" s="17">
        <v>13416666.67</v>
      </c>
      <c r="M145" s="17">
        <v>13416666.67</v>
      </c>
      <c r="N145" s="18">
        <f>6416666.67+3500000+3500000</f>
        <v>13416666.67</v>
      </c>
      <c r="O145" s="22" t="s">
        <v>503</v>
      </c>
      <c r="Q145" s="13">
        <v>2022</v>
      </c>
      <c r="R145" s="13" t="s">
        <v>380</v>
      </c>
      <c r="S145" s="13" t="s">
        <v>504</v>
      </c>
      <c r="T145" s="13" t="s">
        <v>16</v>
      </c>
      <c r="U145" s="17">
        <f t="shared" si="6"/>
        <v>0</v>
      </c>
    </row>
    <row r="146" spans="1:21" x14ac:dyDescent="0.3">
      <c r="A146" s="13">
        <v>81</v>
      </c>
      <c r="B146" s="13" t="str">
        <f>+VLOOKUP(A146,'[1]PA 2023'!$A$8:$E$84,5)</f>
        <v>Desarrollar 3 jornadas de uso creativo del tiempo y emprendimiento que potencien sus competencias y motiven continuar en diferentes niveles de educación superior.</v>
      </c>
      <c r="C146" s="14">
        <v>2021680010003</v>
      </c>
      <c r="D146" s="14" t="str">
        <f>+VLOOKUP(C146,'[1]PA 2023'!$G$8:$H$84,2,FALSE)</f>
        <v>IMPLEMENTACIÓN DE ESTRATEGIAS PSICOPEDAGÓGICAS PARA LA DISMINUCIÓN DE FACTORES DE RIESGO EN NIÑOS, NIÑAS Y ADOLESCENTES EN EL MUNICIPIO DE BUCARAMANGA</v>
      </c>
      <c r="E146" s="13" t="s">
        <v>505</v>
      </c>
      <c r="F146" s="15">
        <v>1160</v>
      </c>
      <c r="G146" s="21" t="s">
        <v>43</v>
      </c>
      <c r="H146" s="21" t="s">
        <v>36</v>
      </c>
      <c r="I146" s="13" t="s">
        <v>506</v>
      </c>
      <c r="J146" s="13" t="s">
        <v>212</v>
      </c>
      <c r="K146" s="16">
        <v>44963</v>
      </c>
      <c r="L146" s="17">
        <v>11500000</v>
      </c>
      <c r="M146" s="17">
        <v>11500000</v>
      </c>
      <c r="N146" s="18">
        <f>3000000+2500000+3000000+3000000</f>
        <v>11500000</v>
      </c>
      <c r="O146" s="22" t="s">
        <v>507</v>
      </c>
      <c r="Q146" s="13">
        <v>2029</v>
      </c>
      <c r="R146" s="13" t="s">
        <v>164</v>
      </c>
      <c r="S146" s="13" t="s">
        <v>508</v>
      </c>
      <c r="T146" s="13" t="s">
        <v>16</v>
      </c>
      <c r="U146" s="17">
        <f t="shared" si="6"/>
        <v>0</v>
      </c>
    </row>
    <row r="147" spans="1:21" x14ac:dyDescent="0.3">
      <c r="A147" s="13">
        <v>101</v>
      </c>
      <c r="B147" s="13" t="str">
        <f>+VLOOKUP(A147,'[1]PA 2023'!$A$8:$E$84,5)</f>
        <v>Atender y mantener de manera integral desde el componente psicosociojurídico y social a 600 mujeres, niñas y personas considerando los enfoques diferenciales y diversidad sexual.</v>
      </c>
      <c r="C147" s="14">
        <v>2020680010106</v>
      </c>
      <c r="D147" s="14" t="str">
        <f>+VLOOKUP(C147,'[1]PA 2023'!$G$8:$H$84,2,FALSE)</f>
        <v>FORTALECIMIENTO DE ESPACIOS DE PARTICIPACIÓN Y PREVENCIÓN DE VIOLENCIAS EN MUJERES Y POBLACIÓN CON ORIENTACIONES SEXUALES E IDENTIDADES DE GÉNERO DIVERSAS DEL MUNICIPIO DE BUCARAMANGA</v>
      </c>
      <c r="E147" s="13" t="s">
        <v>509</v>
      </c>
      <c r="F147" s="15">
        <v>1193</v>
      </c>
      <c r="G147" s="21" t="s">
        <v>43</v>
      </c>
      <c r="H147" s="21" t="s">
        <v>36</v>
      </c>
      <c r="I147" s="13" t="s">
        <v>510</v>
      </c>
      <c r="J147" s="13" t="s">
        <v>378</v>
      </c>
      <c r="K147" s="16">
        <v>44964</v>
      </c>
      <c r="L147" s="17">
        <v>11733333.33</v>
      </c>
      <c r="M147" s="17">
        <v>11733333.33</v>
      </c>
      <c r="N147" s="18">
        <f>5760000+3200000+2773333.33</f>
        <v>11733333.33</v>
      </c>
      <c r="O147" s="22" t="s">
        <v>511</v>
      </c>
      <c r="Q147" s="13">
        <v>2066</v>
      </c>
      <c r="R147" s="13" t="s">
        <v>380</v>
      </c>
      <c r="S147" s="13" t="s">
        <v>512</v>
      </c>
      <c r="T147" s="13" t="s">
        <v>16</v>
      </c>
      <c r="U147" s="17">
        <f t="shared" si="6"/>
        <v>0</v>
      </c>
    </row>
    <row r="148" spans="1:21" x14ac:dyDescent="0.3">
      <c r="A148" s="13">
        <v>117</v>
      </c>
      <c r="B148" s="13" t="str">
        <f>+VLOOKUP(A148,'[1]PA 2023'!$A$8:$E$84,5)</f>
        <v>Formular e implementar 1 estrategia de orientación ocupacional, aprovechamiento del tiempo libre, formación y esparcimiento cultural y actividades que mejoren la calidad de vida dirigidas a personas con discapacidad.</v>
      </c>
      <c r="C148" s="14">
        <v>2020680010121</v>
      </c>
      <c r="D148" s="14" t="str">
        <f>+VLOOKUP(C148,'[1]PA 2023'!$G$8:$H$84,2,FALSE)</f>
        <v>APOYO A LA OPERATIVIDAD DE LOS PROGRAMAS DE ATENCIÓN INTEGRAL A LAS PERSONAS CON DISCAPACIDAD. FAMILIARES Y/O CUIDADORES DEL MUNICIPIO DE BUCARAMANGA</v>
      </c>
      <c r="E148" s="13" t="s">
        <v>513</v>
      </c>
      <c r="F148" s="15">
        <v>1194</v>
      </c>
      <c r="G148" s="22" t="s">
        <v>35</v>
      </c>
      <c r="H148" s="21" t="s">
        <v>36</v>
      </c>
      <c r="I148" s="13" t="s">
        <v>514</v>
      </c>
      <c r="J148" s="13" t="s">
        <v>207</v>
      </c>
      <c r="K148" s="16">
        <v>44964</v>
      </c>
      <c r="L148" s="17">
        <v>8066666.6699999999</v>
      </c>
      <c r="M148" s="17">
        <v>8066666.6699999999</v>
      </c>
      <c r="N148" s="18">
        <f>3960000+2200000+1906666.67</f>
        <v>8066666.6699999999</v>
      </c>
      <c r="O148" s="22" t="s">
        <v>515</v>
      </c>
      <c r="Q148" s="13">
        <v>2067</v>
      </c>
      <c r="R148" s="13" t="s">
        <v>193</v>
      </c>
      <c r="S148" s="13" t="s">
        <v>516</v>
      </c>
      <c r="T148" s="13" t="s">
        <v>16</v>
      </c>
      <c r="U148" s="17">
        <f t="shared" si="6"/>
        <v>0</v>
      </c>
    </row>
    <row r="149" spans="1:21" x14ac:dyDescent="0.3">
      <c r="A149" s="13">
        <v>71</v>
      </c>
      <c r="B149" s="13" t="str">
        <f>+VLOOKUP(A149,'[1]PA 2023'!$A$8:$E$84,5)</f>
        <v>Formular e implementar 1 estrategia de corresponsabilidad en la garantía de derechos, la prevención de vulneración, amenaza o riesgo en el ámbito familiar, comunitario e institucional.</v>
      </c>
      <c r="C149" s="14">
        <v>2021680010003</v>
      </c>
      <c r="D149" s="14" t="str">
        <f>+VLOOKUP(C149,'[1]PA 2023'!$G$8:$H$84,2,FALSE)</f>
        <v>IMPLEMENTACIÓN DE ESTRATEGIAS PSICOPEDAGÓGICAS PARA LA DISMINUCIÓN DE FACTORES DE RIESGO EN NIÑOS, NIÑAS Y ADOLESCENTES EN EL MUNICIPIO DE BUCARAMANGA</v>
      </c>
      <c r="E149" s="13" t="s">
        <v>517</v>
      </c>
      <c r="F149" s="15">
        <v>1234</v>
      </c>
      <c r="G149" s="21" t="s">
        <v>43</v>
      </c>
      <c r="H149" s="21" t="s">
        <v>36</v>
      </c>
      <c r="I149" s="13" t="s">
        <v>518</v>
      </c>
      <c r="J149" s="13" t="s">
        <v>212</v>
      </c>
      <c r="K149" s="16">
        <v>44964</v>
      </c>
      <c r="L149" s="17">
        <v>11000000</v>
      </c>
      <c r="M149" s="17">
        <v>11000000</v>
      </c>
      <c r="N149" s="18">
        <f>5300000+3000000+2700000</f>
        <v>11000000</v>
      </c>
      <c r="O149" s="22" t="s">
        <v>519</v>
      </c>
      <c r="Q149" s="13">
        <v>2098</v>
      </c>
      <c r="R149" s="13" t="s">
        <v>164</v>
      </c>
      <c r="S149" s="13" t="s">
        <v>520</v>
      </c>
      <c r="T149" s="13" t="s">
        <v>16</v>
      </c>
      <c r="U149" s="17">
        <f t="shared" si="6"/>
        <v>0</v>
      </c>
    </row>
    <row r="150" spans="1:21" x14ac:dyDescent="0.3">
      <c r="A150" s="13">
        <v>114</v>
      </c>
      <c r="B150" s="13" t="str">
        <f>+VLOOKUP(A150,'[1]PA 2023'!$A$8:$E$84,5)</f>
        <v>Mantener el servicio exequial al 100% de los habitantes de calle fallecidos registrados dentro del censo municipal.</v>
      </c>
      <c r="C150" s="14">
        <v>2020680010050</v>
      </c>
      <c r="D150" s="14" t="str">
        <f>+VLOOKUP(C150,'[1]PA 2023'!$G$8:$H$84,2,FALSE)</f>
        <v>DESARROLLO DE ACCIONES ENCAMINADAS A GENERAR ATENCIÓN INTEGRAL HACIA LA POBLACIÓN HABITANTES EN SITUACIÓN DE CALLE DEL MUNICIPIO DE BUCARAMANGA</v>
      </c>
      <c r="E150" s="13" t="s">
        <v>521</v>
      </c>
      <c r="F150" s="15">
        <v>52</v>
      </c>
      <c r="G150" s="22" t="s">
        <v>156</v>
      </c>
      <c r="H150" s="21" t="s">
        <v>157</v>
      </c>
      <c r="I150" s="13" t="s">
        <v>158</v>
      </c>
      <c r="J150" s="13" t="s">
        <v>159</v>
      </c>
      <c r="K150" s="16">
        <v>44964</v>
      </c>
      <c r="L150" s="17">
        <v>2606067</v>
      </c>
      <c r="M150" s="17">
        <v>2606067</v>
      </c>
      <c r="N150" s="18">
        <v>2606067</v>
      </c>
      <c r="O150" s="22" t="s">
        <v>160</v>
      </c>
      <c r="Q150" s="13">
        <v>2144</v>
      </c>
      <c r="R150" s="23" t="s">
        <v>161</v>
      </c>
      <c r="S150" s="13" t="s">
        <v>162</v>
      </c>
      <c r="T150" s="13" t="s">
        <v>16</v>
      </c>
      <c r="U150" s="17">
        <f t="shared" si="6"/>
        <v>0</v>
      </c>
    </row>
    <row r="151" spans="1:21" x14ac:dyDescent="0.3">
      <c r="A151" s="13">
        <v>82</v>
      </c>
      <c r="B151" s="13" t="str">
        <f>+VLOOKUP(A151,'[1]PA 2023'!$A$8:$E$84,5)</f>
        <v xml:space="preserve">Mantener el servicio exequial al 100% de los niños, niñas y adolescentes en extrema vulnerabilidad que fallezcan y que sus familias así lo requieran. </v>
      </c>
      <c r="C151" s="14">
        <v>2021680010003</v>
      </c>
      <c r="D151" s="14" t="str">
        <f>+VLOOKUP(C151,'[1]PA 2023'!$G$8:$H$84,2,FALSE)</f>
        <v>IMPLEMENTACIÓN DE ESTRATEGIAS PSICOPEDAGÓGICAS PARA LA DISMINUCIÓN DE FACTORES DE RIESGO EN NIÑOS, NIÑAS Y ADOLESCENTES EN EL MUNICIPIO DE BUCARAMANGA</v>
      </c>
      <c r="E151" s="13" t="s">
        <v>521</v>
      </c>
      <c r="F151" s="15">
        <v>52</v>
      </c>
      <c r="G151" s="22" t="s">
        <v>156</v>
      </c>
      <c r="H151" s="21" t="s">
        <v>157</v>
      </c>
      <c r="I151" s="13" t="s">
        <v>158</v>
      </c>
      <c r="J151" s="13" t="s">
        <v>163</v>
      </c>
      <c r="K151" s="16">
        <v>44964</v>
      </c>
      <c r="L151" s="17">
        <v>2606067</v>
      </c>
      <c r="M151" s="17">
        <v>2606067</v>
      </c>
      <c r="N151" s="18">
        <v>1092866</v>
      </c>
      <c r="O151" s="22" t="s">
        <v>160</v>
      </c>
      <c r="Q151" s="13">
        <v>2144</v>
      </c>
      <c r="R151" s="23" t="s">
        <v>164</v>
      </c>
      <c r="S151" s="13" t="s">
        <v>162</v>
      </c>
      <c r="T151" s="13" t="s">
        <v>16</v>
      </c>
      <c r="U151" s="17">
        <f>+M151-N151+M635</f>
        <v>18013201</v>
      </c>
    </row>
    <row r="152" spans="1:21" x14ac:dyDescent="0.3">
      <c r="A152" s="13">
        <v>91</v>
      </c>
      <c r="B152" s="13" t="str">
        <f>+VLOOKUP(A152,'[1]PA 2023'!$A$8:$E$84,5)</f>
        <v>Mantener el servicio exequial al 100% de las personas mayores fallecidas en condición de pobreza, vulnerabilidad y sin red familiar de apoyo.</v>
      </c>
      <c r="C152" s="14">
        <v>2020680010040</v>
      </c>
      <c r="D152" s="14" t="str">
        <f>+VLOOKUP(C152,'[1]PA 2023'!$G$8:$H$84,2,FALSE)</f>
        <v>IMPLEMENTACIÓN DE ACCIONES TENDIENTES A MEJORAR LAS CONDICIONES DE LOS ADULTOS MAYORES DEL MUNICIPIO DE BUCARAMANGA</v>
      </c>
      <c r="E152" s="13" t="s">
        <v>521</v>
      </c>
      <c r="F152" s="15">
        <v>52</v>
      </c>
      <c r="G152" s="22" t="s">
        <v>156</v>
      </c>
      <c r="H152" s="21" t="s">
        <v>157</v>
      </c>
      <c r="I152" s="13" t="s">
        <v>158</v>
      </c>
      <c r="J152" s="13" t="s">
        <v>165</v>
      </c>
      <c r="K152" s="16">
        <v>44964</v>
      </c>
      <c r="L152" s="17">
        <v>10424268</v>
      </c>
      <c r="M152" s="17">
        <v>10424268</v>
      </c>
      <c r="N152" s="18">
        <f>7818201+2606067</f>
        <v>10424268</v>
      </c>
      <c r="O152" s="22" t="s">
        <v>160</v>
      </c>
      <c r="Q152" s="13">
        <v>2144</v>
      </c>
      <c r="R152" s="23" t="s">
        <v>26</v>
      </c>
      <c r="S152" s="13" t="s">
        <v>162</v>
      </c>
      <c r="T152" s="13" t="s">
        <v>16</v>
      </c>
      <c r="U152" s="17">
        <f>+M152-N152</f>
        <v>0</v>
      </c>
    </row>
    <row r="153" spans="1:21" x14ac:dyDescent="0.3">
      <c r="A153" s="13">
        <v>117</v>
      </c>
      <c r="B153" s="13" t="str">
        <f>+VLOOKUP(A153,'[1]PA 2023'!$A$8:$E$84,5)</f>
        <v>Formular e implementar 1 estrategia de orientación ocupacional, aprovechamiento del tiempo libre, formación y esparcimiento cultural y actividades que mejoren la calidad de vida dirigidas a personas con discapacidad.</v>
      </c>
      <c r="C153" s="14">
        <v>2020680010121</v>
      </c>
      <c r="D153" s="14" t="str">
        <f>+VLOOKUP(C153,'[1]PA 2023'!$G$8:$H$84,2,FALSE)</f>
        <v>APOYO A LA OPERATIVIDAD DE LOS PROGRAMAS DE ATENCIÓN INTEGRAL A LAS PERSONAS CON DISCAPACIDAD. FAMILIARES Y/O CUIDADORES DEL MUNICIPIO DE BUCARAMANGA</v>
      </c>
      <c r="E153" s="13" t="s">
        <v>513</v>
      </c>
      <c r="F153" s="15">
        <v>1201</v>
      </c>
      <c r="G153" s="22" t="s">
        <v>35</v>
      </c>
      <c r="H153" s="21" t="s">
        <v>36</v>
      </c>
      <c r="I153" s="13" t="s">
        <v>522</v>
      </c>
      <c r="J153" s="13" t="s">
        <v>207</v>
      </c>
      <c r="K153" s="16">
        <v>44964</v>
      </c>
      <c r="L153" s="17">
        <v>7333333.3300000001</v>
      </c>
      <c r="M153" s="17">
        <v>7333333.3300000001</v>
      </c>
      <c r="N153" s="18">
        <f>3600000+2000000+1733333.33</f>
        <v>7333333.3300000001</v>
      </c>
      <c r="O153" s="22" t="s">
        <v>523</v>
      </c>
      <c r="Q153" s="13">
        <v>2168</v>
      </c>
      <c r="R153" s="13" t="s">
        <v>193</v>
      </c>
      <c r="S153" s="13" t="s">
        <v>524</v>
      </c>
      <c r="T153" s="13" t="s">
        <v>16</v>
      </c>
      <c r="U153" s="17">
        <f>+M153-N153</f>
        <v>0</v>
      </c>
    </row>
    <row r="154" spans="1:21" x14ac:dyDescent="0.3">
      <c r="A154" s="13">
        <v>115</v>
      </c>
      <c r="B154" s="13" t="str">
        <f>+VLOOKUP(A154,'[1]PA 2023'!$A$8:$E$84,5)</f>
        <v>Garantizar y mantener la atención integral en procesos de habilitación y rehabilitación a 250 niñas, niños y adolescentes con discapacidad del sector urbano y rural en extrema vulnerabilidad.</v>
      </c>
      <c r="C154" s="14">
        <v>2020680010121</v>
      </c>
      <c r="D154" s="14" t="str">
        <f>+VLOOKUP(C154,'[1]PA 2023'!$G$8:$H$84,2,FALSE)</f>
        <v>APOYO A LA OPERATIVIDAD DE LOS PROGRAMAS DE ATENCIÓN INTEGRAL A LAS PERSONAS CON DISCAPACIDAD. FAMILIARES Y/O CUIDADORES DEL MUNICIPIO DE BUCARAMANGA</v>
      </c>
      <c r="E154" s="13" t="s">
        <v>338</v>
      </c>
      <c r="F154" s="15">
        <v>1200</v>
      </c>
      <c r="G154" s="21" t="s">
        <v>43</v>
      </c>
      <c r="H154" s="21" t="s">
        <v>36</v>
      </c>
      <c r="I154" s="13" t="s">
        <v>525</v>
      </c>
      <c r="J154" s="13" t="s">
        <v>207</v>
      </c>
      <c r="K154" s="16">
        <v>44965</v>
      </c>
      <c r="L154" s="17">
        <v>12833333.33</v>
      </c>
      <c r="M154" s="17">
        <v>12833333.33</v>
      </c>
      <c r="N154" s="18">
        <f>6183333.33+3500000+3150000</f>
        <v>12833333.33</v>
      </c>
      <c r="O154" s="22" t="s">
        <v>526</v>
      </c>
      <c r="Q154" s="13">
        <v>2178</v>
      </c>
      <c r="R154" s="13" t="s">
        <v>193</v>
      </c>
      <c r="S154" s="13" t="s">
        <v>527</v>
      </c>
      <c r="T154" s="13" t="s">
        <v>16</v>
      </c>
      <c r="U154" s="17">
        <f>+M154-N154</f>
        <v>0</v>
      </c>
    </row>
    <row r="155" spans="1:21" x14ac:dyDescent="0.3">
      <c r="A155" s="13">
        <v>105</v>
      </c>
      <c r="B155" s="13" t="str">
        <f>+VLOOKUP(A155,'[1]PA 2023'!$A$8:$E$84,5)</f>
        <v>Mantener el Centro Integral de la Mujer a fin de garantizar el fortalecimiento de los procesos de atención y empoderamiento femenino.</v>
      </c>
      <c r="C155" s="14">
        <v>2020680010106</v>
      </c>
      <c r="D155" s="14" t="str">
        <f>+VLOOKUP(C155,'[1]PA 2023'!$G$8:$H$84,2,FALSE)</f>
        <v>FORTALECIMIENTO DE ESPACIOS DE PARTICIPACIÓN Y PREVENCIÓN DE VIOLENCIAS EN MUJERES Y POBLACIÓN CON ORIENTACIONES SEXUALES E IDENTIDADES DE GÉNERO DIVERSAS DEL MUNICIPIO DE BUCARAMANGA</v>
      </c>
      <c r="E155" s="13" t="s">
        <v>528</v>
      </c>
      <c r="F155" s="15">
        <v>1259</v>
      </c>
      <c r="G155" s="21" t="s">
        <v>35</v>
      </c>
      <c r="H155" s="21" t="s">
        <v>36</v>
      </c>
      <c r="I155" s="13" t="s">
        <v>529</v>
      </c>
      <c r="J155" s="13" t="s">
        <v>378</v>
      </c>
      <c r="K155" s="16">
        <v>44965</v>
      </c>
      <c r="L155" s="17">
        <v>7333333.3300000001</v>
      </c>
      <c r="M155" s="17">
        <v>7333333.3300000001</v>
      </c>
      <c r="N155" s="18">
        <f>3533333.33+2000000+1800000</f>
        <v>7333333.3300000001</v>
      </c>
      <c r="O155" s="22" t="s">
        <v>530</v>
      </c>
      <c r="Q155" s="13">
        <v>2187</v>
      </c>
      <c r="R155" s="13" t="s">
        <v>380</v>
      </c>
      <c r="S155" s="13" t="s">
        <v>531</v>
      </c>
      <c r="T155" s="13" t="s">
        <v>16</v>
      </c>
      <c r="U155" s="17">
        <f>+M155-N155</f>
        <v>0</v>
      </c>
    </row>
    <row r="156" spans="1:21" x14ac:dyDescent="0.3">
      <c r="A156" s="13">
        <v>106</v>
      </c>
      <c r="B156" s="13" t="str">
        <f>+VLOOKUP(A156,'[1]PA 2023'!$A$8:$E$84,5)</f>
        <v>Actualizar e implementar la Política Pública de Mujer.</v>
      </c>
      <c r="C156" s="14">
        <v>2020680010106</v>
      </c>
      <c r="D156" s="14" t="str">
        <f>+VLOOKUP(C156,'[1]PA 2023'!$G$8:$H$84,2,FALSE)</f>
        <v>FORTALECIMIENTO DE ESPACIOS DE PARTICIPACIÓN Y PREVENCIÓN DE VIOLENCIAS EN MUJERES Y POBLACIÓN CON ORIENTACIONES SEXUALES E IDENTIDADES DE GÉNERO DIVERSAS DEL MUNICIPIO DE BUCARAMANGA</v>
      </c>
      <c r="E156" s="13" t="s">
        <v>532</v>
      </c>
      <c r="F156" s="15">
        <v>1257</v>
      </c>
      <c r="G156" s="21" t="s">
        <v>43</v>
      </c>
      <c r="H156" s="21" t="s">
        <v>36</v>
      </c>
      <c r="I156" s="13" t="s">
        <v>533</v>
      </c>
      <c r="J156" s="13" t="s">
        <v>378</v>
      </c>
      <c r="K156" s="16">
        <v>44965</v>
      </c>
      <c r="L156" s="17">
        <v>11000000</v>
      </c>
      <c r="M156" s="17">
        <v>11000000</v>
      </c>
      <c r="N156" s="18">
        <v>4400000</v>
      </c>
      <c r="O156" s="22" t="s">
        <v>534</v>
      </c>
      <c r="Q156" s="13">
        <v>2188</v>
      </c>
      <c r="R156" s="23" t="s">
        <v>380</v>
      </c>
      <c r="S156" s="13" t="s">
        <v>535</v>
      </c>
      <c r="T156" s="13" t="s">
        <v>16</v>
      </c>
      <c r="U156" s="17">
        <f>+M156-N156+M468</f>
        <v>6890120</v>
      </c>
    </row>
    <row r="157" spans="1:21" x14ac:dyDescent="0.3">
      <c r="A157" s="13">
        <v>99</v>
      </c>
      <c r="B157" s="13" t="str">
        <f>+VLOOKUP(A157,'[1]PA 2023'!$A$8:$E$84,5)</f>
        <v>Formular e implementar 1 estrategia para brindar asistencia social a la población afectada por las diferentes emergencias y particularmente COVID-19.</v>
      </c>
      <c r="C157" s="14">
        <v>2022680010036</v>
      </c>
      <c r="D157" s="14" t="str">
        <f>+VLOOKUP(C157,'[1]PA 2023'!$G$8:$H$84,2,FALSE)</f>
        <v>IMPLEMENTACIÓN DE ACCIONES DE ASISTENCIA SOCIAL ORIENTADAS A LA POBLACIÓN AFECTADA POR LAS DIFERENTES EMERGENCIAS SOCIALES, NATURALES, SANITARIAS ANTRÓPICAS O EN SITUACIÓN DE VULNERABILIDAD EN EL MUNICIPIO DE BUCARAMANGA</v>
      </c>
      <c r="E157" s="13" t="s">
        <v>536</v>
      </c>
      <c r="F157" s="15">
        <v>1261</v>
      </c>
      <c r="G157" s="21" t="s">
        <v>43</v>
      </c>
      <c r="H157" s="21" t="s">
        <v>36</v>
      </c>
      <c r="I157" s="13" t="s">
        <v>537</v>
      </c>
      <c r="J157" s="13" t="s">
        <v>538</v>
      </c>
      <c r="K157" s="16">
        <v>44965</v>
      </c>
      <c r="L157" s="17">
        <v>7333333.3300000001</v>
      </c>
      <c r="M157" s="17">
        <v>7333333.3300000001</v>
      </c>
      <c r="N157" s="18">
        <f>3533333.33+2000000+1800000</f>
        <v>7333333.3300000001</v>
      </c>
      <c r="O157" s="22" t="s">
        <v>539</v>
      </c>
      <c r="Q157" s="13">
        <v>2210</v>
      </c>
      <c r="R157" s="13" t="s">
        <v>540</v>
      </c>
      <c r="S157" s="13" t="s">
        <v>541</v>
      </c>
      <c r="T157" s="13" t="s">
        <v>16</v>
      </c>
      <c r="U157" s="17">
        <f t="shared" ref="U157:U189" si="7">+M157-N157</f>
        <v>0</v>
      </c>
    </row>
    <row r="158" spans="1:21" x14ac:dyDescent="0.3">
      <c r="A158" s="13">
        <v>99</v>
      </c>
      <c r="B158" s="13" t="str">
        <f>+VLOOKUP(A158,'[1]PA 2023'!$A$8:$E$84,5)</f>
        <v>Formular e implementar 1 estrategia para brindar asistencia social a la población afectada por las diferentes emergencias y particularmente COVID-19.</v>
      </c>
      <c r="C158" s="14">
        <v>2022680010036</v>
      </c>
      <c r="D158" s="14" t="str">
        <f>+VLOOKUP(C158,'[1]PA 2023'!$G$8:$H$84,2,FALSE)</f>
        <v>IMPLEMENTACIÓN DE ACCIONES DE ASISTENCIA SOCIAL ORIENTADAS A LA POBLACIÓN AFECTADA POR LAS DIFERENTES EMERGENCIAS SOCIALES, NATURALES, SANITARIAS ANTRÓPICAS O EN SITUACIÓN DE VULNERABILIDAD EN EL MUNICIPIO DE BUCARAMANGA</v>
      </c>
      <c r="E158" s="13" t="s">
        <v>542</v>
      </c>
      <c r="F158" s="15">
        <v>1264</v>
      </c>
      <c r="G158" s="21" t="s">
        <v>43</v>
      </c>
      <c r="H158" s="21" t="s">
        <v>36</v>
      </c>
      <c r="I158" s="13" t="s">
        <v>543</v>
      </c>
      <c r="J158" s="13" t="s">
        <v>538</v>
      </c>
      <c r="K158" s="16">
        <v>44965</v>
      </c>
      <c r="L158" s="17">
        <v>7333333.3300000001</v>
      </c>
      <c r="M158" s="17">
        <v>7333333.3300000001</v>
      </c>
      <c r="N158" s="18">
        <f>3533333.33+2000000+1800000</f>
        <v>7333333.3300000001</v>
      </c>
      <c r="O158" s="22" t="s">
        <v>544</v>
      </c>
      <c r="Q158" s="13">
        <v>2211</v>
      </c>
      <c r="R158" s="13" t="s">
        <v>540</v>
      </c>
      <c r="S158" s="13" t="s">
        <v>545</v>
      </c>
      <c r="T158" s="13" t="s">
        <v>16</v>
      </c>
      <c r="U158" s="17">
        <f t="shared" si="7"/>
        <v>0</v>
      </c>
    </row>
    <row r="159" spans="1:21" x14ac:dyDescent="0.3">
      <c r="A159" s="13">
        <v>99</v>
      </c>
      <c r="B159" s="13" t="str">
        <f>+VLOOKUP(A159,'[1]PA 2023'!$A$8:$E$84,5)</f>
        <v>Formular e implementar 1 estrategia para brindar asistencia social a la población afectada por las diferentes emergencias y particularmente COVID-19.</v>
      </c>
      <c r="C159" s="14">
        <v>2022680010036</v>
      </c>
      <c r="D159" s="14" t="str">
        <f>+VLOOKUP(C159,'[1]PA 2023'!$G$8:$H$84,2,FALSE)</f>
        <v>IMPLEMENTACIÓN DE ACCIONES DE ASISTENCIA SOCIAL ORIENTADAS A LA POBLACIÓN AFECTADA POR LAS DIFERENTES EMERGENCIAS SOCIALES, NATURALES, SANITARIAS ANTRÓPICAS O EN SITUACIÓN DE VULNERABILIDAD EN EL MUNICIPIO DE BUCARAMANGA</v>
      </c>
      <c r="E159" s="13" t="s">
        <v>536</v>
      </c>
      <c r="F159" s="15">
        <v>1290</v>
      </c>
      <c r="G159" s="21" t="s">
        <v>43</v>
      </c>
      <c r="H159" s="21" t="s">
        <v>36</v>
      </c>
      <c r="I159" s="13" t="s">
        <v>546</v>
      </c>
      <c r="J159" s="13" t="s">
        <v>538</v>
      </c>
      <c r="K159" s="16">
        <v>44966</v>
      </c>
      <c r="L159" s="17">
        <v>7333333.3300000001</v>
      </c>
      <c r="M159" s="17">
        <v>7333333.3300000001</v>
      </c>
      <c r="N159" s="18">
        <f>3466666.67+2000000+1866666.66</f>
        <v>7333333.3300000001</v>
      </c>
      <c r="O159" s="22" t="s">
        <v>547</v>
      </c>
      <c r="Q159" s="13">
        <v>2232</v>
      </c>
      <c r="R159" s="13" t="s">
        <v>540</v>
      </c>
      <c r="S159" s="13" t="s">
        <v>548</v>
      </c>
      <c r="T159" s="13" t="s">
        <v>16</v>
      </c>
      <c r="U159" s="17">
        <f t="shared" si="7"/>
        <v>0</v>
      </c>
    </row>
    <row r="160" spans="1:21" x14ac:dyDescent="0.3">
      <c r="A160" s="13">
        <v>98</v>
      </c>
      <c r="B160" s="13" t="str">
        <f>+VLOOKUP(A160,'[1]PA 2023'!$A$8:$E$84,5)</f>
        <v>Mantener el 100% del apoyo logístico a las familias beneficiadas del programa Familias en Acción.</v>
      </c>
      <c r="C160" s="14">
        <v>2020680010072</v>
      </c>
      <c r="D160" s="14" t="str">
        <f>+VLOOKUP(C160,'[1]PA 2023'!$G$8:$H$84,2,FALSE)</f>
        <v>APOYO A LA OPERATIVIDAD DEL PROGRAMA NACIONAL MÁS FAMILIAS EN ACCIÓN EN EL MUNICIPIO DE BUCARAMANGA</v>
      </c>
      <c r="E160" s="13" t="s">
        <v>549</v>
      </c>
      <c r="F160" s="15">
        <v>1334</v>
      </c>
      <c r="G160" s="21" t="s">
        <v>43</v>
      </c>
      <c r="H160" s="21" t="s">
        <v>36</v>
      </c>
      <c r="I160" s="13" t="s">
        <v>550</v>
      </c>
      <c r="J160" s="13" t="s">
        <v>472</v>
      </c>
      <c r="K160" s="16">
        <v>44966</v>
      </c>
      <c r="L160" s="17">
        <v>13300000</v>
      </c>
      <c r="M160" s="17">
        <v>13300000</v>
      </c>
      <c r="N160" s="18">
        <f>6460000+3800000+3040000</f>
        <v>13300000</v>
      </c>
      <c r="O160" s="22" t="s">
        <v>551</v>
      </c>
      <c r="Q160" s="13">
        <v>2286</v>
      </c>
      <c r="R160" s="13" t="s">
        <v>473</v>
      </c>
      <c r="S160" s="13" t="s">
        <v>552</v>
      </c>
      <c r="T160" s="13" t="s">
        <v>16</v>
      </c>
      <c r="U160" s="17">
        <f t="shared" si="7"/>
        <v>0</v>
      </c>
    </row>
    <row r="161" spans="1:21" x14ac:dyDescent="0.3">
      <c r="A161" s="13">
        <v>96</v>
      </c>
      <c r="B161" s="13" t="str">
        <f>+VLOOKUP(A161,'[1]PA 2023'!$A$8:$E$84,5)</f>
        <v>Formular e implementar 1 estrategia que promueva la democratización familiar apoyada en el componente de bienestar comunitario del programa Familias en Acción con impacto en barrios priorizados por NBI.</v>
      </c>
      <c r="C161" s="14">
        <v>2020680010072</v>
      </c>
      <c r="D161" s="14" t="str">
        <f>+VLOOKUP(C161,'[1]PA 2023'!$G$8:$H$84,2,FALSE)</f>
        <v>APOYO A LA OPERATIVIDAD DEL PROGRAMA NACIONAL MÁS FAMILIAS EN ACCIÓN EN EL MUNICIPIO DE BUCARAMANGA</v>
      </c>
      <c r="E161" s="13" t="s">
        <v>553</v>
      </c>
      <c r="F161" s="15">
        <v>1341</v>
      </c>
      <c r="G161" s="21" t="s">
        <v>43</v>
      </c>
      <c r="H161" s="21" t="s">
        <v>36</v>
      </c>
      <c r="I161" s="13" t="s">
        <v>554</v>
      </c>
      <c r="J161" s="13" t="s">
        <v>472</v>
      </c>
      <c r="K161" s="16">
        <v>44966</v>
      </c>
      <c r="L161" s="17">
        <v>13300000</v>
      </c>
      <c r="M161" s="17">
        <v>13300000</v>
      </c>
      <c r="N161" s="18">
        <f>6460000+3800000+3040000</f>
        <v>13300000</v>
      </c>
      <c r="O161" s="22" t="s">
        <v>555</v>
      </c>
      <c r="Q161" s="13">
        <v>2287</v>
      </c>
      <c r="R161" s="13" t="s">
        <v>473</v>
      </c>
      <c r="S161" s="13" t="s">
        <v>556</v>
      </c>
      <c r="T161" s="13" t="s">
        <v>16</v>
      </c>
      <c r="U161" s="17">
        <f t="shared" si="7"/>
        <v>0</v>
      </c>
    </row>
    <row r="162" spans="1:21" x14ac:dyDescent="0.3">
      <c r="A162" s="13">
        <v>283</v>
      </c>
      <c r="B162" s="13" t="str">
        <f>+VLOOKUP(A162,'[1]PA 2023'!$A$8:$E$84,5)</f>
        <v>Formular e implementar 1 estrategia que fortalezca la democracia participativa (Ley 1757 de 2015).</v>
      </c>
      <c r="C162" s="14">
        <v>2022680010029</v>
      </c>
      <c r="D162" s="14" t="str">
        <f>+VLOOKUP(C162,'[1]PA 2023'!$G$8:$H$84,2,FALSE)</f>
        <v>FORTALECIMIENTO DE LA PARTICIPACIÓN CIUDADANA EN EL MUNICIPIO DE BUCARAMANGA</v>
      </c>
      <c r="E162" s="13" t="s">
        <v>557</v>
      </c>
      <c r="F162" s="15">
        <v>1339</v>
      </c>
      <c r="G162" s="21" t="s">
        <v>43</v>
      </c>
      <c r="H162" s="21" t="s">
        <v>36</v>
      </c>
      <c r="I162" s="13" t="s">
        <v>558</v>
      </c>
      <c r="J162" s="13" t="s">
        <v>468</v>
      </c>
      <c r="K162" s="16">
        <v>44966</v>
      </c>
      <c r="L162" s="17">
        <v>12250000</v>
      </c>
      <c r="M162" s="17">
        <v>12250000</v>
      </c>
      <c r="N162" s="18">
        <f>5950000+6300000</f>
        <v>12250000</v>
      </c>
      <c r="O162" s="22" t="s">
        <v>559</v>
      </c>
      <c r="Q162" s="13">
        <v>2288</v>
      </c>
      <c r="R162" s="13" t="s">
        <v>134</v>
      </c>
      <c r="S162" s="13" t="s">
        <v>560</v>
      </c>
      <c r="T162" s="13" t="s">
        <v>16</v>
      </c>
      <c r="U162" s="17">
        <f t="shared" si="7"/>
        <v>0</v>
      </c>
    </row>
    <row r="163" spans="1:21" x14ac:dyDescent="0.3">
      <c r="A163" s="13">
        <v>283</v>
      </c>
      <c r="B163" s="13" t="str">
        <f>+VLOOKUP(A163,'[1]PA 2023'!$A$8:$E$84,5)</f>
        <v>Formular e implementar 1 estrategia que fortalezca la democracia participativa (Ley 1757 de 2015).</v>
      </c>
      <c r="C163" s="14">
        <v>2022680010029</v>
      </c>
      <c r="D163" s="14" t="str">
        <f>+VLOOKUP(C163,'[1]PA 2023'!$G$8:$H$84,2,FALSE)</f>
        <v>FORTALECIMIENTO DE LA PARTICIPACIÓN CIUDADANA EN EL MUNICIPIO DE BUCARAMANGA</v>
      </c>
      <c r="E163" s="13" t="s">
        <v>557</v>
      </c>
      <c r="F163" s="15">
        <v>1343</v>
      </c>
      <c r="G163" s="21" t="s">
        <v>43</v>
      </c>
      <c r="H163" s="21" t="s">
        <v>36</v>
      </c>
      <c r="I163" s="13" t="s">
        <v>561</v>
      </c>
      <c r="J163" s="13" t="s">
        <v>468</v>
      </c>
      <c r="K163" s="16">
        <v>44966</v>
      </c>
      <c r="L163" s="17">
        <v>10500000</v>
      </c>
      <c r="M163" s="17">
        <v>10500000</v>
      </c>
      <c r="N163" s="18">
        <f>5100000+5400000</f>
        <v>10500000</v>
      </c>
      <c r="O163" s="22" t="s">
        <v>562</v>
      </c>
      <c r="Q163" s="13">
        <v>2289</v>
      </c>
      <c r="R163" s="13" t="s">
        <v>134</v>
      </c>
      <c r="S163" s="13" t="s">
        <v>563</v>
      </c>
      <c r="T163" s="13" t="s">
        <v>16</v>
      </c>
      <c r="U163" s="17">
        <f t="shared" si="7"/>
        <v>0</v>
      </c>
    </row>
    <row r="164" spans="1:21" x14ac:dyDescent="0.3">
      <c r="A164" s="13">
        <v>283</v>
      </c>
      <c r="B164" s="13" t="str">
        <f>+VLOOKUP(A164,'[1]PA 2023'!$A$8:$E$84,5)</f>
        <v>Formular e implementar 1 estrategia que fortalezca la democracia participativa (Ley 1757 de 2015).</v>
      </c>
      <c r="C164" s="14">
        <v>2022680010029</v>
      </c>
      <c r="D164" s="14" t="str">
        <f>+VLOOKUP(C164,'[1]PA 2023'!$G$8:$H$84,2,FALSE)</f>
        <v>FORTALECIMIENTO DE LA PARTICIPACIÓN CIUDADANA EN EL MUNICIPIO DE BUCARAMANGA</v>
      </c>
      <c r="E164" s="13" t="s">
        <v>564</v>
      </c>
      <c r="F164" s="15">
        <v>1340</v>
      </c>
      <c r="G164" s="21" t="s">
        <v>43</v>
      </c>
      <c r="H164" s="21" t="s">
        <v>36</v>
      </c>
      <c r="I164" s="13" t="s">
        <v>565</v>
      </c>
      <c r="J164" s="13" t="s">
        <v>468</v>
      </c>
      <c r="K164" s="16">
        <v>44966</v>
      </c>
      <c r="L164" s="17">
        <v>14000000</v>
      </c>
      <c r="M164" s="17">
        <v>14000000</v>
      </c>
      <c r="N164" s="18">
        <f>6800000+7200000</f>
        <v>14000000</v>
      </c>
      <c r="O164" s="22" t="s">
        <v>566</v>
      </c>
      <c r="Q164" s="13">
        <v>2290</v>
      </c>
      <c r="R164" s="13" t="s">
        <v>134</v>
      </c>
      <c r="S164" s="13" t="s">
        <v>567</v>
      </c>
      <c r="T164" s="13" t="s">
        <v>16</v>
      </c>
      <c r="U164" s="17">
        <f t="shared" si="7"/>
        <v>0</v>
      </c>
    </row>
    <row r="165" spans="1:21" x14ac:dyDescent="0.3">
      <c r="A165" s="13">
        <v>283</v>
      </c>
      <c r="B165" s="13" t="str">
        <f>+VLOOKUP(A165,'[1]PA 2023'!$A$8:$E$84,5)</f>
        <v>Formular e implementar 1 estrategia que fortalezca la democracia participativa (Ley 1757 de 2015).</v>
      </c>
      <c r="C165" s="14">
        <v>2022680010035</v>
      </c>
      <c r="D165" s="14" t="str">
        <f>+VLOOKUP(C165,'[1]PA 2023'!$G$8:$H$84,2,FALSE)</f>
        <v>FORTALECIMIENTO DE LA PARTICIPACIÓN E INCIDENCIA DE LAS EXPRESIONES E INSTITUCIONES DEMOCRÁTICAS JUVENILES DE LA CIUDAD DE BUCARAMANGA</v>
      </c>
      <c r="E165" s="13" t="s">
        <v>568</v>
      </c>
      <c r="F165" s="15">
        <v>1347</v>
      </c>
      <c r="G165" s="21" t="s">
        <v>43</v>
      </c>
      <c r="H165" s="21" t="s">
        <v>36</v>
      </c>
      <c r="I165" s="13" t="s">
        <v>569</v>
      </c>
      <c r="J165" s="13" t="s">
        <v>468</v>
      </c>
      <c r="K165" s="16">
        <v>44967</v>
      </c>
      <c r="L165" s="17">
        <v>12250000</v>
      </c>
      <c r="M165" s="17">
        <v>12250000</v>
      </c>
      <c r="N165" s="18">
        <f>5600000+3500000+3150000</f>
        <v>12250000</v>
      </c>
      <c r="O165" s="22" t="s">
        <v>570</v>
      </c>
      <c r="Q165" s="13">
        <v>2291</v>
      </c>
      <c r="R165" s="13" t="s">
        <v>134</v>
      </c>
      <c r="S165" s="13" t="s">
        <v>571</v>
      </c>
      <c r="T165" s="13" t="s">
        <v>16</v>
      </c>
      <c r="U165" s="17">
        <f t="shared" si="7"/>
        <v>0</v>
      </c>
    </row>
    <row r="166" spans="1:21" x14ac:dyDescent="0.3">
      <c r="A166" s="13">
        <v>88</v>
      </c>
      <c r="B166" s="13" t="str">
        <f>+VLOOKUP(A166,'[1]PA 2023'!$A$8:$E$84,5)</f>
        <v>Beneficiar y mantener a 11.000 personas mayores con el programa Colombia Mayor.</v>
      </c>
      <c r="C166" s="14">
        <v>2020680010040</v>
      </c>
      <c r="D166" s="14" t="str">
        <f>+VLOOKUP(C166,'[1]PA 2023'!$G$8:$H$84,2,FALSE)</f>
        <v>IMPLEMENTACIÓN DE ACCIONES TENDIENTES A MEJORAR LAS CONDICIONES DE LOS ADULTOS MAYORES DEL MUNICIPIO DE BUCARAMANGA</v>
      </c>
      <c r="E166" s="13" t="s">
        <v>572</v>
      </c>
      <c r="F166" s="15">
        <v>1329</v>
      </c>
      <c r="G166" s="21" t="s">
        <v>35</v>
      </c>
      <c r="H166" s="21" t="s">
        <v>36</v>
      </c>
      <c r="I166" s="13" t="s">
        <v>573</v>
      </c>
      <c r="J166" s="13" t="s">
        <v>574</v>
      </c>
      <c r="K166" s="16">
        <v>44967</v>
      </c>
      <c r="L166" s="17">
        <v>8050000</v>
      </c>
      <c r="M166" s="17">
        <v>8050000</v>
      </c>
      <c r="N166" s="18">
        <f>3910000+4140000</f>
        <v>8050000</v>
      </c>
      <c r="O166" s="22" t="s">
        <v>575</v>
      </c>
      <c r="Q166" s="13">
        <v>2292</v>
      </c>
      <c r="R166" s="13" t="s">
        <v>26</v>
      </c>
      <c r="S166" s="13" t="s">
        <v>576</v>
      </c>
      <c r="T166" s="13" t="s">
        <v>16</v>
      </c>
      <c r="U166" s="17">
        <f t="shared" si="7"/>
        <v>0</v>
      </c>
    </row>
    <row r="167" spans="1:21" x14ac:dyDescent="0.3">
      <c r="A167" s="13">
        <v>283</v>
      </c>
      <c r="B167" s="13" t="str">
        <f>+VLOOKUP(A167,'[1]PA 2023'!$A$8:$E$84,5)</f>
        <v>Formular e implementar 1 estrategia que fortalezca la democracia participativa (Ley 1757 de 2015).</v>
      </c>
      <c r="C167" s="14">
        <v>2022680010029</v>
      </c>
      <c r="D167" s="14" t="str">
        <f>+VLOOKUP(C167,'[1]PA 2023'!$G$8:$H$84,2,FALSE)</f>
        <v>FORTALECIMIENTO DE LA PARTICIPACIÓN CIUDADANA EN EL MUNICIPIO DE BUCARAMANGA</v>
      </c>
      <c r="E167" s="13" t="s">
        <v>577</v>
      </c>
      <c r="F167" s="15">
        <v>1350</v>
      </c>
      <c r="G167" s="21" t="s">
        <v>43</v>
      </c>
      <c r="H167" s="21" t="s">
        <v>36</v>
      </c>
      <c r="I167" s="13" t="s">
        <v>578</v>
      </c>
      <c r="J167" s="13" t="s">
        <v>468</v>
      </c>
      <c r="K167" s="16">
        <v>44967</v>
      </c>
      <c r="L167" s="17">
        <v>10500000</v>
      </c>
      <c r="M167" s="17">
        <v>10500000</v>
      </c>
      <c r="N167" s="18">
        <f>5100000+3000000+2400000</f>
        <v>10500000</v>
      </c>
      <c r="O167" s="22" t="s">
        <v>579</v>
      </c>
      <c r="Q167" s="13">
        <v>2293</v>
      </c>
      <c r="R167" s="13" t="s">
        <v>134</v>
      </c>
      <c r="S167" s="13" t="s">
        <v>580</v>
      </c>
      <c r="T167" s="13" t="s">
        <v>16</v>
      </c>
      <c r="U167" s="17">
        <f t="shared" si="7"/>
        <v>0</v>
      </c>
    </row>
    <row r="168" spans="1:21" x14ac:dyDescent="0.3">
      <c r="A168" s="13">
        <v>285</v>
      </c>
      <c r="B168" s="13" t="str">
        <f>+VLOOKUP(A168,'[1]PA 2023'!$A$8:$E$84,5)</f>
        <v>Mantener en funcionamiento el 100% de los salones comunales que hacen parte del programa Ágoras.</v>
      </c>
      <c r="C168" s="14">
        <v>2022680010029</v>
      </c>
      <c r="D168" s="14" t="str">
        <f>+VLOOKUP(C168,'[1]PA 2023'!$G$8:$H$84,2,FALSE)</f>
        <v>FORTALECIMIENTO DE LA PARTICIPACIÓN CIUDADANA EN EL MUNICIPIO DE BUCARAMANGA</v>
      </c>
      <c r="E168" s="13" t="s">
        <v>581</v>
      </c>
      <c r="F168" s="15">
        <v>1368</v>
      </c>
      <c r="G168" s="21" t="s">
        <v>35</v>
      </c>
      <c r="H168" s="21" t="s">
        <v>36</v>
      </c>
      <c r="I168" s="13" t="s">
        <v>582</v>
      </c>
      <c r="J168" s="13" t="s">
        <v>468</v>
      </c>
      <c r="K168" s="16">
        <v>44967</v>
      </c>
      <c r="L168" s="17">
        <v>6300000</v>
      </c>
      <c r="M168" s="17">
        <v>6300000</v>
      </c>
      <c r="N168" s="18">
        <f>3060000+3240000</f>
        <v>6300000</v>
      </c>
      <c r="O168" s="22" t="s">
        <v>583</v>
      </c>
      <c r="Q168" s="13">
        <v>2295</v>
      </c>
      <c r="R168" s="13" t="s">
        <v>134</v>
      </c>
      <c r="S168" s="13" t="s">
        <v>584</v>
      </c>
      <c r="T168" s="13" t="s">
        <v>16</v>
      </c>
      <c r="U168" s="17">
        <f t="shared" si="7"/>
        <v>0</v>
      </c>
    </row>
    <row r="169" spans="1:21" x14ac:dyDescent="0.3">
      <c r="A169" s="13">
        <v>283</v>
      </c>
      <c r="B169" s="13" t="str">
        <f>+VLOOKUP(A169,'[1]PA 2023'!$A$8:$E$84,5)</f>
        <v>Formular e implementar 1 estrategia que fortalezca la democracia participativa (Ley 1757 de 2015).</v>
      </c>
      <c r="C169" s="14">
        <v>2022680010035</v>
      </c>
      <c r="D169" s="14" t="str">
        <f>+VLOOKUP(C169,'[1]PA 2023'!$G$8:$H$84,2,FALSE)</f>
        <v>FORTALECIMIENTO DE LA PARTICIPACIÓN E INCIDENCIA DE LAS EXPRESIONES E INSTITUCIONES DEMOCRÁTICAS JUVENILES DE LA CIUDAD DE BUCARAMANGA</v>
      </c>
      <c r="E169" s="13" t="s">
        <v>585</v>
      </c>
      <c r="F169" s="15">
        <v>1370</v>
      </c>
      <c r="G169" s="21" t="s">
        <v>43</v>
      </c>
      <c r="H169" s="21" t="s">
        <v>36</v>
      </c>
      <c r="I169" s="13" t="s">
        <v>586</v>
      </c>
      <c r="J169" s="13" t="s">
        <v>468</v>
      </c>
      <c r="K169" s="16">
        <v>44967</v>
      </c>
      <c r="L169" s="17">
        <v>12250000</v>
      </c>
      <c r="M169" s="17">
        <v>12250000</v>
      </c>
      <c r="N169" s="18">
        <f>5950000+6300000</f>
        <v>12250000</v>
      </c>
      <c r="O169" s="22" t="s">
        <v>587</v>
      </c>
      <c r="Q169" s="13">
        <v>2296</v>
      </c>
      <c r="R169" s="13" t="s">
        <v>134</v>
      </c>
      <c r="S169" s="13" t="s">
        <v>588</v>
      </c>
      <c r="T169" s="13" t="s">
        <v>16</v>
      </c>
      <c r="U169" s="17">
        <f t="shared" si="7"/>
        <v>0</v>
      </c>
    </row>
    <row r="170" spans="1:21" x14ac:dyDescent="0.3">
      <c r="A170" s="13">
        <v>283</v>
      </c>
      <c r="B170" s="13" t="str">
        <f>+VLOOKUP(A170,'[1]PA 2023'!$A$8:$E$84,5)</f>
        <v>Formular e implementar 1 estrategia que fortalezca la democracia participativa (Ley 1757 de 2015).</v>
      </c>
      <c r="C170" s="14">
        <v>2022680010029</v>
      </c>
      <c r="D170" s="14" t="str">
        <f>+VLOOKUP(C170,'[1]PA 2023'!$G$8:$H$84,2,FALSE)</f>
        <v>FORTALECIMIENTO DE LA PARTICIPACIÓN CIUDADANA EN EL MUNICIPIO DE BUCARAMANGA</v>
      </c>
      <c r="E170" s="13" t="s">
        <v>589</v>
      </c>
      <c r="F170" s="15">
        <v>1364</v>
      </c>
      <c r="G170" s="21" t="s">
        <v>43</v>
      </c>
      <c r="H170" s="21" t="s">
        <v>36</v>
      </c>
      <c r="I170" s="13" t="s">
        <v>590</v>
      </c>
      <c r="J170" s="13" t="s">
        <v>468</v>
      </c>
      <c r="K170" s="16">
        <v>44967</v>
      </c>
      <c r="L170" s="17">
        <v>14000000</v>
      </c>
      <c r="M170" s="17">
        <v>14000000</v>
      </c>
      <c r="N170" s="18">
        <f>6800000+4000000+3200000</f>
        <v>14000000</v>
      </c>
      <c r="O170" s="22" t="s">
        <v>591</v>
      </c>
      <c r="Q170" s="13">
        <v>2297</v>
      </c>
      <c r="R170" s="13" t="s">
        <v>134</v>
      </c>
      <c r="S170" s="13" t="s">
        <v>592</v>
      </c>
      <c r="T170" s="13" t="s">
        <v>16</v>
      </c>
      <c r="U170" s="17">
        <f t="shared" si="7"/>
        <v>0</v>
      </c>
    </row>
    <row r="171" spans="1:21" x14ac:dyDescent="0.3">
      <c r="A171" s="13">
        <v>283</v>
      </c>
      <c r="B171" s="13" t="str">
        <f>+VLOOKUP(A171,'[1]PA 2023'!$A$8:$E$84,5)</f>
        <v>Formular e implementar 1 estrategia que fortalezca la democracia participativa (Ley 1757 de 2015).</v>
      </c>
      <c r="C171" s="14">
        <v>2022680010029</v>
      </c>
      <c r="D171" s="14" t="str">
        <f>+VLOOKUP(C171,'[1]PA 2023'!$G$8:$H$84,2,FALSE)</f>
        <v>FORTALECIMIENTO DE LA PARTICIPACIÓN CIUDADANA EN EL MUNICIPIO DE BUCARAMANGA</v>
      </c>
      <c r="E171" s="13" t="s">
        <v>593</v>
      </c>
      <c r="F171" s="15">
        <v>1371</v>
      </c>
      <c r="G171" s="21" t="s">
        <v>43</v>
      </c>
      <c r="H171" s="21" t="s">
        <v>36</v>
      </c>
      <c r="I171" s="13" t="s">
        <v>594</v>
      </c>
      <c r="J171" s="13" t="s">
        <v>468</v>
      </c>
      <c r="K171" s="16">
        <v>44967</v>
      </c>
      <c r="L171" s="17">
        <v>12250000</v>
      </c>
      <c r="M171" s="17">
        <v>12250000</v>
      </c>
      <c r="N171" s="18">
        <f>5950000+6300000</f>
        <v>12250000</v>
      </c>
      <c r="O171" s="22" t="s">
        <v>595</v>
      </c>
      <c r="Q171" s="13">
        <v>2298</v>
      </c>
      <c r="R171" s="13" t="s">
        <v>134</v>
      </c>
      <c r="S171" s="13" t="s">
        <v>596</v>
      </c>
      <c r="T171" s="13" t="s">
        <v>16</v>
      </c>
      <c r="U171" s="17">
        <f t="shared" si="7"/>
        <v>0</v>
      </c>
    </row>
    <row r="172" spans="1:21" x14ac:dyDescent="0.3">
      <c r="A172" s="13">
        <v>300</v>
      </c>
      <c r="B172" s="13" t="str">
        <f>+VLOOKUP(A172,'[1]PA 2023'!$A$8:$E$84,5)</f>
        <v>Mantener el 100% de los programas que desarrolla la Administración Central.</v>
      </c>
      <c r="C172" s="14">
        <v>2020680010025</v>
      </c>
      <c r="D172" s="14" t="str">
        <f>+VLOOKUP(C172,'[1]PA 2023'!$G$8:$H$84,2,FALSE)</f>
        <v>MEJORAMIENTO DE LOS PROCESOS TRANSVERSALES PARA UNA ADMINISTRACIÓN PUBLICA MODERNA Y EFICIENTE EN LA SECRETARÍA DE DESARROLLO SOCIAL DEL MUNICIPIO BUCARAMANGA</v>
      </c>
      <c r="E172" s="13" t="s">
        <v>597</v>
      </c>
      <c r="F172" s="15">
        <v>1374</v>
      </c>
      <c r="G172" s="22" t="s">
        <v>35</v>
      </c>
      <c r="H172" s="21" t="s">
        <v>36</v>
      </c>
      <c r="I172" s="13" t="s">
        <v>598</v>
      </c>
      <c r="J172" s="13" t="s">
        <v>38</v>
      </c>
      <c r="K172" s="16">
        <v>44967</v>
      </c>
      <c r="L172" s="17">
        <v>8750000</v>
      </c>
      <c r="M172" s="17">
        <v>8750000</v>
      </c>
      <c r="N172" s="18">
        <f>4250000+2500000+2000000</f>
        <v>8750000</v>
      </c>
      <c r="O172" s="22" t="s">
        <v>599</v>
      </c>
      <c r="Q172" s="13">
        <v>2299</v>
      </c>
      <c r="R172" s="13" t="s">
        <v>40</v>
      </c>
      <c r="S172" s="13" t="s">
        <v>600</v>
      </c>
      <c r="T172" s="13" t="s">
        <v>16</v>
      </c>
      <c r="U172" s="17">
        <f t="shared" si="7"/>
        <v>0</v>
      </c>
    </row>
    <row r="173" spans="1:21" x14ac:dyDescent="0.3">
      <c r="A173" s="13">
        <v>93</v>
      </c>
      <c r="B173" s="13" t="str">
        <f>+VLOOKUP(A173,'[1]PA 2023'!$A$8:$E$84,5)</f>
        <v>Mantener en funcionamiento los 3 Centros Vida con la prestacion de servicios integrales y/o dotacion de los mismos cumpliendo con la oferta institucional.</v>
      </c>
      <c r="C173" s="14">
        <v>2020680010040</v>
      </c>
      <c r="D173" s="14" t="str">
        <f>+VLOOKUP(C173,'[1]PA 2023'!$G$8:$H$84,2,FALSE)</f>
        <v>IMPLEMENTACIÓN DE ACCIONES TENDIENTES A MEJORAR LAS CONDICIONES DE LOS ADULTOS MAYORES DEL MUNICIPIO DE BUCARAMANGA</v>
      </c>
      <c r="E173" s="13" t="s">
        <v>601</v>
      </c>
      <c r="F173" s="15">
        <v>1375</v>
      </c>
      <c r="G173" s="21" t="s">
        <v>35</v>
      </c>
      <c r="H173" s="21" t="s">
        <v>36</v>
      </c>
      <c r="I173" s="13" t="s">
        <v>602</v>
      </c>
      <c r="J173" s="13" t="s">
        <v>574</v>
      </c>
      <c r="K173" s="16">
        <v>44967</v>
      </c>
      <c r="L173" s="17">
        <v>14000000</v>
      </c>
      <c r="M173" s="17">
        <v>14000000</v>
      </c>
      <c r="N173" s="18">
        <f>4000000+2666666.67+7333333.33</f>
        <v>14000000</v>
      </c>
      <c r="O173" s="22" t="s">
        <v>603</v>
      </c>
      <c r="Q173" s="13">
        <v>2324</v>
      </c>
      <c r="R173" s="13" t="s">
        <v>26</v>
      </c>
      <c r="S173" s="13" t="s">
        <v>604</v>
      </c>
      <c r="T173" s="13" t="s">
        <v>16</v>
      </c>
      <c r="U173" s="17">
        <f t="shared" si="7"/>
        <v>0</v>
      </c>
    </row>
    <row r="174" spans="1:21" x14ac:dyDescent="0.3">
      <c r="A174" s="13">
        <v>283</v>
      </c>
      <c r="B174" s="13" t="str">
        <f>+VLOOKUP(A174,'[1]PA 2023'!$A$8:$E$84,5)</f>
        <v>Formular e implementar 1 estrategia que fortalezca la democracia participativa (Ley 1757 de 2015).</v>
      </c>
      <c r="C174" s="14">
        <v>2022680010029</v>
      </c>
      <c r="D174" s="14" t="str">
        <f>+VLOOKUP(C174,'[1]PA 2023'!$G$8:$H$84,2,FALSE)</f>
        <v>FORTALECIMIENTO DE LA PARTICIPACIÓN CIUDADANA EN EL MUNICIPIO DE BUCARAMANGA</v>
      </c>
      <c r="E174" s="13" t="s">
        <v>605</v>
      </c>
      <c r="F174" s="15">
        <v>1349</v>
      </c>
      <c r="G174" s="21" t="s">
        <v>35</v>
      </c>
      <c r="H174" s="21" t="s">
        <v>36</v>
      </c>
      <c r="I174" s="13" t="s">
        <v>606</v>
      </c>
      <c r="J174" s="13" t="s">
        <v>468</v>
      </c>
      <c r="K174" s="16">
        <v>44967</v>
      </c>
      <c r="L174" s="17">
        <v>7000000</v>
      </c>
      <c r="M174" s="17">
        <v>7000000</v>
      </c>
      <c r="N174" s="18">
        <f>2000000+1400000+2000000+1600000</f>
        <v>7000000</v>
      </c>
      <c r="O174" s="22" t="s">
        <v>607</v>
      </c>
      <c r="Q174" s="13">
        <v>2350</v>
      </c>
      <c r="R174" s="13" t="s">
        <v>134</v>
      </c>
      <c r="S174" s="13" t="s">
        <v>608</v>
      </c>
      <c r="T174" s="13" t="s">
        <v>16</v>
      </c>
      <c r="U174" s="17">
        <f t="shared" si="7"/>
        <v>0</v>
      </c>
    </row>
    <row r="175" spans="1:21" x14ac:dyDescent="0.3">
      <c r="A175" s="13">
        <v>300</v>
      </c>
      <c r="B175" s="13" t="str">
        <f>+VLOOKUP(A175,'[1]PA 2023'!$A$8:$E$84,5)</f>
        <v>Mantener el 100% de los programas que desarrolla la Administración Central.</v>
      </c>
      <c r="C175" s="14">
        <v>2020680010025</v>
      </c>
      <c r="D175" s="14" t="str">
        <f>+VLOOKUP(C175,'[1]PA 2023'!$G$8:$H$84,2,FALSE)</f>
        <v>MEJORAMIENTO DE LOS PROCESOS TRANSVERSALES PARA UNA ADMINISTRACIÓN PUBLICA MODERNA Y EFICIENTE EN LA SECRETARÍA DE DESARROLLO SOCIAL DEL MUNICIPIO BUCARAMANGA</v>
      </c>
      <c r="E175" s="13" t="s">
        <v>609</v>
      </c>
      <c r="F175" s="15">
        <v>1373</v>
      </c>
      <c r="G175" s="21" t="s">
        <v>43</v>
      </c>
      <c r="H175" s="21" t="s">
        <v>36</v>
      </c>
      <c r="I175" s="13" t="s">
        <v>610</v>
      </c>
      <c r="J175" s="13" t="s">
        <v>38</v>
      </c>
      <c r="K175" s="16">
        <v>44967</v>
      </c>
      <c r="L175" s="17">
        <v>15750000</v>
      </c>
      <c r="M175" s="17">
        <v>15750000</v>
      </c>
      <c r="N175" s="18">
        <f>7650000+4500000+3600000</f>
        <v>15750000</v>
      </c>
      <c r="O175" s="22" t="s">
        <v>611</v>
      </c>
      <c r="Q175" s="13">
        <v>2351</v>
      </c>
      <c r="R175" s="13" t="s">
        <v>40</v>
      </c>
      <c r="S175" s="13" t="s">
        <v>612</v>
      </c>
      <c r="T175" s="13" t="s">
        <v>16</v>
      </c>
      <c r="U175" s="17">
        <f t="shared" si="7"/>
        <v>0</v>
      </c>
    </row>
    <row r="176" spans="1:21" x14ac:dyDescent="0.3">
      <c r="A176" s="13">
        <v>94</v>
      </c>
      <c r="B176" s="13" t="str">
        <f>+VLOOKUP(A176,'[1]PA 2023'!$A$8:$E$84,5)</f>
        <v>Mantener el servicio atención primaria en salud, atención psicosocial que promueva la salud física, salud mental y el bienestar social de las personas mayores en los centros vida.</v>
      </c>
      <c r="C176" s="14">
        <v>2020680010040</v>
      </c>
      <c r="D176" s="14" t="str">
        <f>+VLOOKUP(C176,'[1]PA 2023'!$G$8:$H$84,2,FALSE)</f>
        <v>IMPLEMENTACIÓN DE ACCIONES TENDIENTES A MEJORAR LAS CONDICIONES DE LOS ADULTOS MAYORES DEL MUNICIPIO DE BUCARAMANGA</v>
      </c>
      <c r="E176" s="13" t="s">
        <v>613</v>
      </c>
      <c r="F176" s="15">
        <v>1372</v>
      </c>
      <c r="G176" s="21" t="s">
        <v>43</v>
      </c>
      <c r="H176" s="21" t="s">
        <v>36</v>
      </c>
      <c r="I176" s="13" t="s">
        <v>614</v>
      </c>
      <c r="J176" s="13" t="s">
        <v>574</v>
      </c>
      <c r="K176" s="16">
        <v>44967</v>
      </c>
      <c r="L176" s="17">
        <v>19250000</v>
      </c>
      <c r="M176" s="17">
        <v>19250000</v>
      </c>
      <c r="N176" s="18">
        <f>9350000+9900000</f>
        <v>19250000</v>
      </c>
      <c r="O176" s="22" t="s">
        <v>615</v>
      </c>
      <c r="Q176" s="13">
        <v>2352</v>
      </c>
      <c r="R176" s="13" t="s">
        <v>26</v>
      </c>
      <c r="S176" s="13" t="s">
        <v>616</v>
      </c>
      <c r="T176" s="13" t="s">
        <v>16</v>
      </c>
      <c r="U176" s="17">
        <f t="shared" si="7"/>
        <v>0</v>
      </c>
    </row>
    <row r="177" spans="1:21" x14ac:dyDescent="0.3">
      <c r="A177" s="13">
        <v>94</v>
      </c>
      <c r="B177" s="13" t="str">
        <f>+VLOOKUP(A177,'[1]PA 2023'!$A$8:$E$84,5)</f>
        <v>Mantener el servicio atención primaria en salud, atención psicosocial que promueva la salud física, salud mental y el bienestar social de las personas mayores en los centros vida.</v>
      </c>
      <c r="C177" s="14">
        <v>2020680010040</v>
      </c>
      <c r="D177" s="14" t="str">
        <f>+VLOOKUP(C177,'[1]PA 2023'!$G$8:$H$84,2,FALSE)</f>
        <v>IMPLEMENTACIÓN DE ACCIONES TENDIENTES A MEJORAR LAS CONDICIONES DE LOS ADULTOS MAYORES DEL MUNICIPIO DE BUCARAMANGA</v>
      </c>
      <c r="E177" s="13" t="s">
        <v>617</v>
      </c>
      <c r="F177" s="15">
        <v>1382</v>
      </c>
      <c r="G177" s="21" t="s">
        <v>43</v>
      </c>
      <c r="H177" s="21" t="s">
        <v>36</v>
      </c>
      <c r="I177" s="13" t="s">
        <v>618</v>
      </c>
      <c r="J177" s="13" t="s">
        <v>574</v>
      </c>
      <c r="K177" s="16">
        <v>44967</v>
      </c>
      <c r="L177" s="17">
        <v>10500000</v>
      </c>
      <c r="M177" s="17">
        <v>10500000</v>
      </c>
      <c r="N177" s="18">
        <f>5000000+5500000</f>
        <v>10500000</v>
      </c>
      <c r="O177" s="22" t="s">
        <v>619</v>
      </c>
      <c r="Q177" s="13">
        <v>2374</v>
      </c>
      <c r="R177" s="13" t="s">
        <v>26</v>
      </c>
      <c r="S177" s="13" t="s">
        <v>620</v>
      </c>
      <c r="T177" s="13" t="s">
        <v>16</v>
      </c>
      <c r="U177" s="17">
        <f t="shared" si="7"/>
        <v>0</v>
      </c>
    </row>
    <row r="178" spans="1:21" x14ac:dyDescent="0.3">
      <c r="A178" s="13">
        <v>93</v>
      </c>
      <c r="B178" s="13" t="str">
        <f>+VLOOKUP(A178,'[1]PA 2023'!$A$8:$E$84,5)</f>
        <v>Mantener en funcionamiento los 3 Centros Vida con la prestacion de servicios integrales y/o dotacion de los mismos cumpliendo con la oferta institucional.</v>
      </c>
      <c r="C178" s="14">
        <v>2020680010040</v>
      </c>
      <c r="D178" s="14" t="str">
        <f>+VLOOKUP(C178,'[1]PA 2023'!$G$8:$H$84,2,FALSE)</f>
        <v>IMPLEMENTACIÓN DE ACCIONES TENDIENTES A MEJORAR LAS CONDICIONES DE LOS ADULTOS MAYORES DEL MUNICIPIO DE BUCARAMANGA</v>
      </c>
      <c r="E178" s="13" t="s">
        <v>621</v>
      </c>
      <c r="F178" s="15">
        <v>1387</v>
      </c>
      <c r="G178" s="21" t="s">
        <v>43</v>
      </c>
      <c r="H178" s="21" t="s">
        <v>36</v>
      </c>
      <c r="I178" s="13" t="s">
        <v>622</v>
      </c>
      <c r="J178" s="13" t="s">
        <v>574</v>
      </c>
      <c r="K178" s="16">
        <v>44967</v>
      </c>
      <c r="L178" s="17">
        <v>10500000</v>
      </c>
      <c r="M178" s="17">
        <v>10500000</v>
      </c>
      <c r="N178" s="18">
        <f>5000000+5500000</f>
        <v>10500000</v>
      </c>
      <c r="O178" s="22" t="s">
        <v>623</v>
      </c>
      <c r="Q178" s="13">
        <v>2379</v>
      </c>
      <c r="R178" s="13" t="s">
        <v>26</v>
      </c>
      <c r="S178" s="13" t="s">
        <v>624</v>
      </c>
      <c r="T178" s="13" t="s">
        <v>16</v>
      </c>
      <c r="U178" s="17">
        <f t="shared" si="7"/>
        <v>0</v>
      </c>
    </row>
    <row r="179" spans="1:21" x14ac:dyDescent="0.3">
      <c r="A179" s="13">
        <v>90</v>
      </c>
      <c r="B179" s="13" t="str">
        <f>+VLOOKUP(A179,'[1]PA 2023'!$A$8:$E$84,5)</f>
        <v>Beneficiar a 7.000 personas mayores vulnerables de los diferentes barrios del municipio con la oferta de servicios de atencion primaria en salud, recreacion y aprovechamiento del tiempo libre.</v>
      </c>
      <c r="C179" s="14">
        <v>2020680010040</v>
      </c>
      <c r="D179" s="14" t="str">
        <f>+VLOOKUP(C179,'[1]PA 2023'!$G$8:$H$84,2,FALSE)</f>
        <v>IMPLEMENTACIÓN DE ACCIONES TENDIENTES A MEJORAR LAS CONDICIONES DE LOS ADULTOS MAYORES DEL MUNICIPIO DE BUCARAMANGA</v>
      </c>
      <c r="E179" s="13" t="s">
        <v>625</v>
      </c>
      <c r="F179" s="15">
        <v>1388</v>
      </c>
      <c r="G179" s="21" t="s">
        <v>43</v>
      </c>
      <c r="H179" s="21" t="s">
        <v>36</v>
      </c>
      <c r="I179" s="13" t="s">
        <v>626</v>
      </c>
      <c r="J179" s="13" t="s">
        <v>574</v>
      </c>
      <c r="K179" s="16">
        <v>44967</v>
      </c>
      <c r="L179" s="17">
        <v>12250000</v>
      </c>
      <c r="M179" s="17">
        <v>12250000</v>
      </c>
      <c r="N179" s="18">
        <f>5833333.33+ 6416666.67</f>
        <v>12250000</v>
      </c>
      <c r="O179" s="22" t="s">
        <v>627</v>
      </c>
      <c r="Q179" s="13">
        <v>2380</v>
      </c>
      <c r="R179" s="13" t="s">
        <v>26</v>
      </c>
      <c r="S179" s="13" t="s">
        <v>628</v>
      </c>
      <c r="T179" s="13" t="s">
        <v>16</v>
      </c>
      <c r="U179" s="17">
        <f t="shared" si="7"/>
        <v>0</v>
      </c>
    </row>
    <row r="180" spans="1:21" x14ac:dyDescent="0.3">
      <c r="A180" s="13">
        <v>93</v>
      </c>
      <c r="B180" s="13" t="str">
        <f>+VLOOKUP(A180,'[1]PA 2023'!$A$8:$E$84,5)</f>
        <v>Mantener en funcionamiento los 3 Centros Vida con la prestacion de servicios integrales y/o dotacion de los mismos cumpliendo con la oferta institucional.</v>
      </c>
      <c r="C180" s="14">
        <v>2020680010040</v>
      </c>
      <c r="D180" s="14" t="str">
        <f>+VLOOKUP(C180,'[1]PA 2023'!$G$8:$H$84,2,FALSE)</f>
        <v>IMPLEMENTACIÓN DE ACCIONES TENDIENTES A MEJORAR LAS CONDICIONES DE LOS ADULTOS MAYORES DEL MUNICIPIO DE BUCARAMANGA</v>
      </c>
      <c r="E180" s="13" t="s">
        <v>629</v>
      </c>
      <c r="F180" s="15">
        <v>1390</v>
      </c>
      <c r="G180" s="21" t="s">
        <v>43</v>
      </c>
      <c r="H180" s="21" t="s">
        <v>36</v>
      </c>
      <c r="I180" s="13" t="s">
        <v>630</v>
      </c>
      <c r="J180" s="13" t="s">
        <v>574</v>
      </c>
      <c r="K180" s="16">
        <v>44967</v>
      </c>
      <c r="L180" s="17">
        <v>10500000</v>
      </c>
      <c r="M180" s="17">
        <v>10500000</v>
      </c>
      <c r="N180" s="18">
        <f>5000000+3000000+2500000</f>
        <v>10500000</v>
      </c>
      <c r="O180" s="22" t="s">
        <v>631</v>
      </c>
      <c r="Q180" s="13">
        <v>2381</v>
      </c>
      <c r="R180" s="13" t="s">
        <v>26</v>
      </c>
      <c r="S180" s="13" t="s">
        <v>632</v>
      </c>
      <c r="T180" s="13" t="s">
        <v>16</v>
      </c>
      <c r="U180" s="17">
        <f t="shared" si="7"/>
        <v>0</v>
      </c>
    </row>
    <row r="181" spans="1:21" x14ac:dyDescent="0.3">
      <c r="A181" s="13">
        <v>93</v>
      </c>
      <c r="B181" s="13" t="str">
        <f>+VLOOKUP(A181,'[1]PA 2023'!$A$8:$E$84,5)</f>
        <v>Mantener en funcionamiento los 3 Centros Vida con la prestacion de servicios integrales y/o dotacion de los mismos cumpliendo con la oferta institucional.</v>
      </c>
      <c r="C181" s="14">
        <v>2020680010040</v>
      </c>
      <c r="D181" s="14" t="str">
        <f>+VLOOKUP(C181,'[1]PA 2023'!$G$8:$H$84,2,FALSE)</f>
        <v>IMPLEMENTACIÓN DE ACCIONES TENDIENTES A MEJORAR LAS CONDICIONES DE LOS ADULTOS MAYORES DEL MUNICIPIO DE BUCARAMANGA</v>
      </c>
      <c r="E181" s="13" t="s">
        <v>633</v>
      </c>
      <c r="F181" s="15">
        <v>1389</v>
      </c>
      <c r="G181" s="21" t="s">
        <v>35</v>
      </c>
      <c r="H181" s="21" t="s">
        <v>36</v>
      </c>
      <c r="I181" s="13" t="s">
        <v>634</v>
      </c>
      <c r="J181" s="13" t="s">
        <v>574</v>
      </c>
      <c r="K181" s="16">
        <v>44967</v>
      </c>
      <c r="L181" s="17">
        <v>7000000</v>
      </c>
      <c r="M181" s="17">
        <v>7000000</v>
      </c>
      <c r="N181" s="18">
        <f>3333333.33+2000000+1666666.67</f>
        <v>7000000</v>
      </c>
      <c r="O181" s="22" t="s">
        <v>635</v>
      </c>
      <c r="Q181" s="13">
        <v>2382</v>
      </c>
      <c r="R181" s="13" t="s">
        <v>26</v>
      </c>
      <c r="S181" s="13" t="s">
        <v>636</v>
      </c>
      <c r="T181" s="13" t="s">
        <v>16</v>
      </c>
      <c r="U181" s="17">
        <f t="shared" si="7"/>
        <v>0</v>
      </c>
    </row>
    <row r="182" spans="1:21" x14ac:dyDescent="0.3">
      <c r="A182" s="13">
        <v>285</v>
      </c>
      <c r="B182" s="13" t="str">
        <f>+VLOOKUP(A182,'[1]PA 2023'!$A$8:$E$84,5)</f>
        <v>Mantener en funcionamiento el 100% de los salones comunales que hacen parte del programa Ágoras.</v>
      </c>
      <c r="C182" s="14">
        <v>2022680010029</v>
      </c>
      <c r="D182" s="14" t="str">
        <f>+VLOOKUP(C182,'[1]PA 2023'!$G$8:$H$84,2,FALSE)</f>
        <v>FORTALECIMIENTO DE LA PARTICIPACIÓN CIUDADANA EN EL MUNICIPIO DE BUCARAMANGA</v>
      </c>
      <c r="E182" s="13" t="s">
        <v>637</v>
      </c>
      <c r="F182" s="15">
        <v>1396</v>
      </c>
      <c r="G182" s="21" t="s">
        <v>35</v>
      </c>
      <c r="H182" s="21" t="s">
        <v>36</v>
      </c>
      <c r="I182" s="13" t="s">
        <v>638</v>
      </c>
      <c r="J182" s="13" t="s">
        <v>468</v>
      </c>
      <c r="K182" s="16">
        <v>44970</v>
      </c>
      <c r="L182" s="17">
        <v>6300000</v>
      </c>
      <c r="M182" s="17">
        <v>6300000</v>
      </c>
      <c r="N182" s="18">
        <f>2880000+3420000</f>
        <v>6300000</v>
      </c>
      <c r="O182" s="22" t="s">
        <v>639</v>
      </c>
      <c r="Q182" s="13">
        <v>2383</v>
      </c>
      <c r="R182" s="13" t="s">
        <v>134</v>
      </c>
      <c r="S182" s="13" t="s">
        <v>640</v>
      </c>
      <c r="T182" s="13" t="s">
        <v>16</v>
      </c>
      <c r="U182" s="17">
        <f t="shared" si="7"/>
        <v>0</v>
      </c>
    </row>
    <row r="183" spans="1:21" x14ac:dyDescent="0.3">
      <c r="A183" s="13">
        <v>93</v>
      </c>
      <c r="B183" s="13" t="str">
        <f>+VLOOKUP(A183,'[1]PA 2023'!$A$8:$E$84,5)</f>
        <v>Mantener en funcionamiento los 3 Centros Vida con la prestacion de servicios integrales y/o dotacion de los mismos cumpliendo con la oferta institucional.</v>
      </c>
      <c r="C183" s="14">
        <v>2020680010040</v>
      </c>
      <c r="D183" s="14" t="str">
        <f>+VLOOKUP(C183,'[1]PA 2023'!$G$8:$H$84,2,FALSE)</f>
        <v>IMPLEMENTACIÓN DE ACCIONES TENDIENTES A MEJORAR LAS CONDICIONES DE LOS ADULTOS MAYORES DEL MUNICIPIO DE BUCARAMANGA</v>
      </c>
      <c r="E183" s="13" t="s">
        <v>641</v>
      </c>
      <c r="F183" s="15">
        <v>1398</v>
      </c>
      <c r="G183" s="21" t="s">
        <v>43</v>
      </c>
      <c r="H183" s="21" t="s">
        <v>36</v>
      </c>
      <c r="I183" s="13" t="s">
        <v>642</v>
      </c>
      <c r="J183" s="13" t="s">
        <v>574</v>
      </c>
      <c r="K183" s="16">
        <v>44970</v>
      </c>
      <c r="L183" s="17">
        <v>10500000</v>
      </c>
      <c r="M183" s="17">
        <v>10500000</v>
      </c>
      <c r="N183" s="18">
        <f>4800000+5700000</f>
        <v>10500000</v>
      </c>
      <c r="O183" s="22" t="s">
        <v>643</v>
      </c>
      <c r="Q183" s="13">
        <v>2427</v>
      </c>
      <c r="R183" s="13" t="s">
        <v>26</v>
      </c>
      <c r="S183" s="13" t="s">
        <v>644</v>
      </c>
      <c r="T183" s="13" t="s">
        <v>16</v>
      </c>
      <c r="U183" s="17">
        <f t="shared" si="7"/>
        <v>0</v>
      </c>
    </row>
    <row r="184" spans="1:21" x14ac:dyDescent="0.3">
      <c r="A184" s="13">
        <v>300</v>
      </c>
      <c r="B184" s="13" t="str">
        <f>+VLOOKUP(A184,'[1]PA 2023'!$A$8:$E$84,5)</f>
        <v>Mantener el 100% de los programas que desarrolla la Administración Central.</v>
      </c>
      <c r="C184" s="14">
        <v>2020680010025</v>
      </c>
      <c r="D184" s="14" t="str">
        <f>+VLOOKUP(C184,'[1]PA 2023'!$G$8:$H$84,2,FALSE)</f>
        <v>MEJORAMIENTO DE LOS PROCESOS TRANSVERSALES PARA UNA ADMINISTRACIÓN PUBLICA MODERNA Y EFICIENTE EN LA SECRETARÍA DE DESARROLLO SOCIAL DEL MUNICIPIO BUCARAMANGA</v>
      </c>
      <c r="E184" s="13" t="s">
        <v>645</v>
      </c>
      <c r="F184" s="15">
        <v>1399</v>
      </c>
      <c r="G184" s="21" t="s">
        <v>43</v>
      </c>
      <c r="H184" s="21" t="s">
        <v>36</v>
      </c>
      <c r="I184" s="13" t="s">
        <v>646</v>
      </c>
      <c r="J184" s="13" t="s">
        <v>38</v>
      </c>
      <c r="K184" s="16">
        <v>44970</v>
      </c>
      <c r="L184" s="17">
        <v>19250000</v>
      </c>
      <c r="M184" s="17">
        <v>19250000</v>
      </c>
      <c r="N184" s="18">
        <f>8800000+5500000+4950000</f>
        <v>19250000</v>
      </c>
      <c r="O184" s="22" t="s">
        <v>647</v>
      </c>
      <c r="Q184" s="13">
        <v>2428</v>
      </c>
      <c r="R184" s="13" t="s">
        <v>40</v>
      </c>
      <c r="S184" s="13" t="s">
        <v>648</v>
      </c>
      <c r="T184" s="13" t="s">
        <v>16</v>
      </c>
      <c r="U184" s="17">
        <f t="shared" si="7"/>
        <v>0</v>
      </c>
    </row>
    <row r="185" spans="1:21" x14ac:dyDescent="0.3">
      <c r="A185" s="13">
        <v>285</v>
      </c>
      <c r="B185" s="13" t="str">
        <f>+VLOOKUP(A185,'[1]PA 2023'!$A$8:$E$84,5)</f>
        <v>Mantener en funcionamiento el 100% de los salones comunales que hacen parte del programa Ágoras.</v>
      </c>
      <c r="C185" s="14">
        <v>2022680010029</v>
      </c>
      <c r="D185" s="14" t="str">
        <f>+VLOOKUP(C185,'[1]PA 2023'!$G$8:$H$84,2,FALSE)</f>
        <v>FORTALECIMIENTO DE LA PARTICIPACIÓN CIUDADANA EN EL MUNICIPIO DE BUCARAMANGA</v>
      </c>
      <c r="E185" s="13" t="s">
        <v>637</v>
      </c>
      <c r="F185" s="15">
        <v>1400</v>
      </c>
      <c r="G185" s="21" t="s">
        <v>35</v>
      </c>
      <c r="H185" s="21" t="s">
        <v>36</v>
      </c>
      <c r="I185" s="13" t="s">
        <v>649</v>
      </c>
      <c r="J185" s="13" t="s">
        <v>468</v>
      </c>
      <c r="K185" s="16">
        <v>44970</v>
      </c>
      <c r="L185" s="17">
        <v>6300000</v>
      </c>
      <c r="M185" s="17">
        <v>6300000</v>
      </c>
      <c r="N185" s="18">
        <f>2880000+3420000</f>
        <v>6300000</v>
      </c>
      <c r="O185" s="22" t="s">
        <v>650</v>
      </c>
      <c r="Q185" s="13">
        <v>2429</v>
      </c>
      <c r="R185" s="13" t="s">
        <v>134</v>
      </c>
      <c r="S185" s="13" t="s">
        <v>651</v>
      </c>
      <c r="T185" s="13" t="s">
        <v>16</v>
      </c>
      <c r="U185" s="17">
        <f t="shared" si="7"/>
        <v>0</v>
      </c>
    </row>
    <row r="186" spans="1:21" x14ac:dyDescent="0.3">
      <c r="A186" s="13">
        <v>285</v>
      </c>
      <c r="B186" s="13" t="str">
        <f>+VLOOKUP(A186,'[1]PA 2023'!$A$8:$E$84,5)</f>
        <v>Mantener en funcionamiento el 100% de los salones comunales que hacen parte del programa Ágoras.</v>
      </c>
      <c r="C186" s="14">
        <v>2022680010029</v>
      </c>
      <c r="D186" s="14" t="str">
        <f>+VLOOKUP(C186,'[1]PA 2023'!$G$8:$H$84,2,FALSE)</f>
        <v>FORTALECIMIENTO DE LA PARTICIPACIÓN CIUDADANA EN EL MUNICIPIO DE BUCARAMANGA</v>
      </c>
      <c r="E186" s="13" t="s">
        <v>637</v>
      </c>
      <c r="F186" s="15">
        <v>1408</v>
      </c>
      <c r="G186" s="21" t="s">
        <v>35</v>
      </c>
      <c r="H186" s="21" t="s">
        <v>36</v>
      </c>
      <c r="I186" s="13" t="s">
        <v>652</v>
      </c>
      <c r="J186" s="13" t="s">
        <v>468</v>
      </c>
      <c r="K186" s="16">
        <v>44970</v>
      </c>
      <c r="L186" s="17">
        <v>6300000</v>
      </c>
      <c r="M186" s="17">
        <v>6300000</v>
      </c>
      <c r="N186" s="18">
        <f>2880000+3420000</f>
        <v>6300000</v>
      </c>
      <c r="O186" s="22" t="s">
        <v>653</v>
      </c>
      <c r="Q186" s="13">
        <v>2430</v>
      </c>
      <c r="R186" s="13" t="s">
        <v>134</v>
      </c>
      <c r="S186" s="13" t="s">
        <v>654</v>
      </c>
      <c r="T186" s="13" t="s">
        <v>16</v>
      </c>
      <c r="U186" s="17">
        <f t="shared" si="7"/>
        <v>0</v>
      </c>
    </row>
    <row r="187" spans="1:21" x14ac:dyDescent="0.3">
      <c r="A187" s="13">
        <v>93</v>
      </c>
      <c r="B187" s="13" t="str">
        <f>+VLOOKUP(A187,'[1]PA 2023'!$A$8:$E$84,5)</f>
        <v>Mantener en funcionamiento los 3 Centros Vida con la prestacion de servicios integrales y/o dotacion de los mismos cumpliendo con la oferta institucional.</v>
      </c>
      <c r="C187" s="14">
        <v>2020680010040</v>
      </c>
      <c r="D187" s="14" t="str">
        <f>+VLOOKUP(C187,'[1]PA 2023'!$G$8:$H$84,2,FALSE)</f>
        <v>IMPLEMENTACIÓN DE ACCIONES TENDIENTES A MEJORAR LAS CONDICIONES DE LOS ADULTOS MAYORES DEL MUNICIPIO DE BUCARAMANGA</v>
      </c>
      <c r="E187" s="13" t="s">
        <v>655</v>
      </c>
      <c r="F187" s="15">
        <v>1402</v>
      </c>
      <c r="G187" s="21" t="s">
        <v>35</v>
      </c>
      <c r="H187" s="21" t="s">
        <v>36</v>
      </c>
      <c r="I187" s="13" t="s">
        <v>656</v>
      </c>
      <c r="J187" s="13" t="s">
        <v>574</v>
      </c>
      <c r="K187" s="16">
        <v>44970</v>
      </c>
      <c r="L187" s="17">
        <v>7000000</v>
      </c>
      <c r="M187" s="17">
        <v>7000000</v>
      </c>
      <c r="N187" s="18">
        <f>3200000+2000000+1800000</f>
        <v>7000000</v>
      </c>
      <c r="O187" s="22" t="s">
        <v>657</v>
      </c>
      <c r="Q187" s="13">
        <v>2431</v>
      </c>
      <c r="R187" s="13" t="s">
        <v>26</v>
      </c>
      <c r="S187" s="13" t="s">
        <v>658</v>
      </c>
      <c r="T187" s="13" t="s">
        <v>16</v>
      </c>
      <c r="U187" s="17">
        <f t="shared" si="7"/>
        <v>0</v>
      </c>
    </row>
    <row r="188" spans="1:21" x14ac:dyDescent="0.3">
      <c r="A188" s="13">
        <v>94</v>
      </c>
      <c r="B188" s="13" t="str">
        <f>+VLOOKUP(A188,'[1]PA 2023'!$A$8:$E$84,5)</f>
        <v>Mantener el servicio atención primaria en salud, atención psicosocial que promueva la salud física, salud mental y el bienestar social de las personas mayores en los centros vida.</v>
      </c>
      <c r="C188" s="14">
        <v>2020680010040</v>
      </c>
      <c r="D188" s="14" t="str">
        <f>+VLOOKUP(C188,'[1]PA 2023'!$G$8:$H$84,2,FALSE)</f>
        <v>IMPLEMENTACIÓN DE ACCIONES TENDIENTES A MEJORAR LAS CONDICIONES DE LOS ADULTOS MAYORES DEL MUNICIPIO DE BUCARAMANGA</v>
      </c>
      <c r="E188" s="13" t="s">
        <v>659</v>
      </c>
      <c r="F188" s="15">
        <v>1403</v>
      </c>
      <c r="G188" s="21" t="s">
        <v>43</v>
      </c>
      <c r="H188" s="21" t="s">
        <v>36</v>
      </c>
      <c r="I188" s="13" t="s">
        <v>660</v>
      </c>
      <c r="J188" s="13" t="s">
        <v>574</v>
      </c>
      <c r="K188" s="16">
        <v>44970</v>
      </c>
      <c r="L188" s="17">
        <v>8750000</v>
      </c>
      <c r="M188" s="17">
        <v>8750000</v>
      </c>
      <c r="N188" s="18">
        <f>2500000+1500000+2500000+2250000</f>
        <v>8750000</v>
      </c>
      <c r="O188" s="22" t="s">
        <v>661</v>
      </c>
      <c r="Q188" s="13">
        <v>2432</v>
      </c>
      <c r="R188" s="13" t="s">
        <v>26</v>
      </c>
      <c r="S188" s="13" t="s">
        <v>662</v>
      </c>
      <c r="T188" s="13" t="s">
        <v>16</v>
      </c>
      <c r="U188" s="17">
        <f t="shared" si="7"/>
        <v>0</v>
      </c>
    </row>
    <row r="189" spans="1:21" x14ac:dyDescent="0.3">
      <c r="A189" s="13">
        <v>207</v>
      </c>
      <c r="B189" s="13" t="str">
        <f>+VLOOKUP(A189,'[1]PA 2023'!$A$8:$E$84,5)</f>
        <v>Desarrollar procesos agroindustriales con 20 unidades productivas del sector rural.</v>
      </c>
      <c r="C189" s="14">
        <v>2020680010123</v>
      </c>
      <c r="D189" s="14" t="str">
        <f>+VLOOKUP(C189,'[1]PA 2023'!$G$8:$H$84,2,FALSE)</f>
        <v>FORTALECIMIENTO DE LA PRODUCTIVIDAD Y COMPETITIVIDAD AGROPECUARIA EN EL SECTOR RURAL DEL MUNICIPIO DE BUCARAMANGA</v>
      </c>
      <c r="E189" s="13" t="s">
        <v>663</v>
      </c>
      <c r="F189" s="15">
        <v>1406</v>
      </c>
      <c r="G189" s="21" t="s">
        <v>43</v>
      </c>
      <c r="H189" s="21" t="s">
        <v>36</v>
      </c>
      <c r="I189" s="13" t="s">
        <v>664</v>
      </c>
      <c r="J189" s="13" t="s">
        <v>665</v>
      </c>
      <c r="K189" s="16">
        <v>44970</v>
      </c>
      <c r="L189" s="17">
        <v>8750000</v>
      </c>
      <c r="M189" s="17">
        <v>8750000</v>
      </c>
      <c r="N189" s="18">
        <f>1500000+2500000+2500000+2250000</f>
        <v>8750000</v>
      </c>
      <c r="O189" s="22" t="s">
        <v>666</v>
      </c>
      <c r="Q189" s="13">
        <v>2433</v>
      </c>
      <c r="R189" s="13" t="s">
        <v>667</v>
      </c>
      <c r="S189" s="13" t="s">
        <v>668</v>
      </c>
      <c r="T189" s="13" t="s">
        <v>16</v>
      </c>
      <c r="U189" s="17">
        <f t="shared" si="7"/>
        <v>0</v>
      </c>
    </row>
    <row r="190" spans="1:21" x14ac:dyDescent="0.3">
      <c r="A190" s="13">
        <v>205</v>
      </c>
      <c r="B190" s="13" t="str">
        <f>+VLOOKUP(A190,'[1]PA 2023'!$A$8:$E$84,5)</f>
        <v>Mantener 4 mercadillos campesinos.</v>
      </c>
      <c r="C190" s="14">
        <v>2020680010123</v>
      </c>
      <c r="D190" s="14" t="str">
        <f>+VLOOKUP(C190,'[1]PA 2023'!$G$8:$H$84,2,FALSE)</f>
        <v>FORTALECIMIENTO DE LA PRODUCTIVIDAD Y COMPETITIVIDAD AGROPECUARIA EN EL SECTOR RURAL DEL MUNICIPIO DE BUCARAMANGA</v>
      </c>
      <c r="E190" s="13" t="s">
        <v>669</v>
      </c>
      <c r="F190" s="15">
        <v>1405</v>
      </c>
      <c r="G190" s="22" t="s">
        <v>35</v>
      </c>
      <c r="H190" s="21" t="s">
        <v>36</v>
      </c>
      <c r="I190" s="13" t="s">
        <v>670</v>
      </c>
      <c r="J190" s="13" t="s">
        <v>665</v>
      </c>
      <c r="K190" s="16">
        <v>44970</v>
      </c>
      <c r="L190" s="17">
        <v>7000000</v>
      </c>
      <c r="M190" s="17">
        <v>7000000</v>
      </c>
      <c r="N190" s="18">
        <f>1200000+2000000+2000000+533333.33</f>
        <v>5733333.3300000001</v>
      </c>
      <c r="O190" s="22" t="s">
        <v>671</v>
      </c>
      <c r="Q190" s="13">
        <v>2434</v>
      </c>
      <c r="R190" s="23" t="s">
        <v>667</v>
      </c>
      <c r="S190" s="13" t="s">
        <v>672</v>
      </c>
      <c r="T190" s="13" t="s">
        <v>16</v>
      </c>
      <c r="U190" s="17">
        <f>+M190-N190+M550</f>
        <v>0</v>
      </c>
    </row>
    <row r="191" spans="1:21" x14ac:dyDescent="0.3">
      <c r="A191" s="13">
        <v>88</v>
      </c>
      <c r="B191" s="13" t="str">
        <f>+VLOOKUP(A191,'[1]PA 2023'!$A$8:$E$84,5)</f>
        <v>Beneficiar y mantener a 11.000 personas mayores con el programa Colombia Mayor.</v>
      </c>
      <c r="C191" s="14">
        <v>2020680010040</v>
      </c>
      <c r="D191" s="14" t="str">
        <f>+VLOOKUP(C191,'[1]PA 2023'!$G$8:$H$84,2,FALSE)</f>
        <v>IMPLEMENTACIÓN DE ACCIONES TENDIENTES A MEJORAR LAS CONDICIONES DE LOS ADULTOS MAYORES DEL MUNICIPIO DE BUCARAMANGA</v>
      </c>
      <c r="E191" s="13" t="s">
        <v>673</v>
      </c>
      <c r="F191" s="15">
        <v>1401</v>
      </c>
      <c r="G191" s="21" t="s">
        <v>35</v>
      </c>
      <c r="H191" s="21" t="s">
        <v>36</v>
      </c>
      <c r="I191" s="13" t="s">
        <v>674</v>
      </c>
      <c r="J191" s="13" t="s">
        <v>574</v>
      </c>
      <c r="K191" s="16">
        <v>44970</v>
      </c>
      <c r="L191" s="17">
        <v>6300000</v>
      </c>
      <c r="M191" s="17">
        <v>6300000</v>
      </c>
      <c r="N191" s="18">
        <f>2880000+1800000+1620000</f>
        <v>6300000</v>
      </c>
      <c r="O191" s="22" t="s">
        <v>675</v>
      </c>
      <c r="Q191" s="13">
        <v>2435</v>
      </c>
      <c r="R191" s="13" t="s">
        <v>26</v>
      </c>
      <c r="S191" s="13" t="s">
        <v>676</v>
      </c>
      <c r="T191" s="13" t="s">
        <v>16</v>
      </c>
      <c r="U191" s="17">
        <f t="shared" ref="U191:U209" si="8">+M191-N191</f>
        <v>0</v>
      </c>
    </row>
    <row r="192" spans="1:21" x14ac:dyDescent="0.3">
      <c r="A192" s="13">
        <v>283</v>
      </c>
      <c r="B192" s="13" t="str">
        <f>+VLOOKUP(A192,'[1]PA 2023'!$A$8:$E$84,5)</f>
        <v>Formular e implementar 1 estrategia que fortalezca la democracia participativa (Ley 1757 de 2015).</v>
      </c>
      <c r="C192" s="14">
        <v>2022680010029</v>
      </c>
      <c r="D192" s="14" t="str">
        <f>+VLOOKUP(C192,'[1]PA 2023'!$G$8:$H$84,2,FALSE)</f>
        <v>FORTALECIMIENTO DE LA PARTICIPACIÓN CIUDADANA EN EL MUNICIPIO DE BUCARAMANGA</v>
      </c>
      <c r="E192" s="13" t="s">
        <v>677</v>
      </c>
      <c r="F192" s="15">
        <v>1429</v>
      </c>
      <c r="G192" s="21" t="s">
        <v>43</v>
      </c>
      <c r="H192" s="21" t="s">
        <v>36</v>
      </c>
      <c r="I192" s="13" t="s">
        <v>678</v>
      </c>
      <c r="J192" s="13" t="s">
        <v>468</v>
      </c>
      <c r="K192" s="16">
        <v>44971</v>
      </c>
      <c r="L192" s="17">
        <v>10850000</v>
      </c>
      <c r="M192" s="17">
        <v>10850000</v>
      </c>
      <c r="N192" s="18">
        <f>4753333.33+3100000+2996666.67</f>
        <v>10850000</v>
      </c>
      <c r="O192" s="22" t="s">
        <v>679</v>
      </c>
      <c r="Q192" s="13">
        <v>2457</v>
      </c>
      <c r="R192" s="13" t="s">
        <v>134</v>
      </c>
      <c r="S192" s="13" t="s">
        <v>680</v>
      </c>
      <c r="T192" s="13" t="s">
        <v>16</v>
      </c>
      <c r="U192" s="17">
        <f t="shared" si="8"/>
        <v>0</v>
      </c>
    </row>
    <row r="193" spans="1:21" x14ac:dyDescent="0.3">
      <c r="A193" s="13">
        <v>285</v>
      </c>
      <c r="B193" s="13" t="str">
        <f>+VLOOKUP(A193,'[1]PA 2023'!$A$8:$E$84,5)</f>
        <v>Mantener en funcionamiento el 100% de los salones comunales que hacen parte del programa Ágoras.</v>
      </c>
      <c r="C193" s="14">
        <v>2022680010029</v>
      </c>
      <c r="D193" s="14" t="str">
        <f>+VLOOKUP(C193,'[1]PA 2023'!$G$8:$H$84,2,FALSE)</f>
        <v>FORTALECIMIENTO DE LA PARTICIPACIÓN CIUDADANA EN EL MUNICIPIO DE BUCARAMANGA</v>
      </c>
      <c r="E193" s="13" t="s">
        <v>681</v>
      </c>
      <c r="F193" s="15">
        <v>1423</v>
      </c>
      <c r="G193" s="21" t="s">
        <v>35</v>
      </c>
      <c r="H193" s="21" t="s">
        <v>36</v>
      </c>
      <c r="I193" s="13" t="s">
        <v>682</v>
      </c>
      <c r="J193" s="13" t="s">
        <v>468</v>
      </c>
      <c r="K193" s="16">
        <v>44971</v>
      </c>
      <c r="L193" s="17">
        <v>6300000</v>
      </c>
      <c r="M193" s="17">
        <v>6300000</v>
      </c>
      <c r="N193" s="18">
        <f>2760000+1800000+1740000</f>
        <v>6300000</v>
      </c>
      <c r="O193" s="22" t="s">
        <v>683</v>
      </c>
      <c r="Q193" s="13">
        <v>2459</v>
      </c>
      <c r="R193" s="13" t="s">
        <v>134</v>
      </c>
      <c r="S193" s="13" t="s">
        <v>684</v>
      </c>
      <c r="T193" s="13" t="s">
        <v>16</v>
      </c>
      <c r="U193" s="17">
        <f t="shared" si="8"/>
        <v>0</v>
      </c>
    </row>
    <row r="194" spans="1:21" x14ac:dyDescent="0.3">
      <c r="A194" s="13">
        <v>94</v>
      </c>
      <c r="B194" s="13" t="str">
        <f>+VLOOKUP(A194,'[1]PA 2023'!$A$8:$E$84,5)</f>
        <v>Mantener el servicio atención primaria en salud, atención psicosocial que promueva la salud física, salud mental y el bienestar social de las personas mayores en los centros vida.</v>
      </c>
      <c r="C194" s="14">
        <v>2020680010040</v>
      </c>
      <c r="D194" s="14" t="str">
        <f>+VLOOKUP(C194,'[1]PA 2023'!$G$8:$H$84,2,FALSE)</f>
        <v>IMPLEMENTACIÓN DE ACCIONES TENDIENTES A MEJORAR LAS CONDICIONES DE LOS ADULTOS MAYORES DEL MUNICIPIO DE BUCARAMANGA</v>
      </c>
      <c r="E194" s="13" t="s">
        <v>641</v>
      </c>
      <c r="F194" s="15">
        <v>1404</v>
      </c>
      <c r="G194" s="21" t="s">
        <v>43</v>
      </c>
      <c r="H194" s="21" t="s">
        <v>36</v>
      </c>
      <c r="I194" s="13" t="s">
        <v>685</v>
      </c>
      <c r="J194" s="13" t="s">
        <v>574</v>
      </c>
      <c r="K194" s="16">
        <v>44971</v>
      </c>
      <c r="L194" s="17">
        <v>12600000</v>
      </c>
      <c r="M194" s="17">
        <v>12600000</v>
      </c>
      <c r="N194" s="18">
        <f>5640000+3600000+3360000</f>
        <v>12600000</v>
      </c>
      <c r="O194" s="22" t="s">
        <v>686</v>
      </c>
      <c r="Q194" s="13">
        <v>2460</v>
      </c>
      <c r="R194" s="13" t="s">
        <v>26</v>
      </c>
      <c r="S194" s="13" t="s">
        <v>687</v>
      </c>
      <c r="T194" s="13" t="s">
        <v>16</v>
      </c>
      <c r="U194" s="17">
        <f t="shared" si="8"/>
        <v>0</v>
      </c>
    </row>
    <row r="195" spans="1:21" x14ac:dyDescent="0.3">
      <c r="A195" s="13">
        <v>300</v>
      </c>
      <c r="B195" s="13" t="str">
        <f>+VLOOKUP(A195,'[1]PA 2023'!$A$8:$E$84,5)</f>
        <v>Mantener el 100% de los programas que desarrolla la Administración Central.</v>
      </c>
      <c r="C195" s="14">
        <v>2020680010025</v>
      </c>
      <c r="D195" s="14" t="str">
        <f>+VLOOKUP(C195,'[1]PA 2023'!$G$8:$H$84,2,FALSE)</f>
        <v>MEJORAMIENTO DE LOS PROCESOS TRANSVERSALES PARA UNA ADMINISTRACIÓN PUBLICA MODERNA Y EFICIENTE EN LA SECRETARÍA DE DESARROLLO SOCIAL DEL MUNICIPIO BUCARAMANGA</v>
      </c>
      <c r="E195" s="13" t="s">
        <v>688</v>
      </c>
      <c r="F195" s="15">
        <v>1440</v>
      </c>
      <c r="G195" s="21" t="s">
        <v>43</v>
      </c>
      <c r="H195" s="21" t="s">
        <v>36</v>
      </c>
      <c r="I195" s="13" t="s">
        <v>689</v>
      </c>
      <c r="J195" s="13" t="s">
        <v>38</v>
      </c>
      <c r="K195" s="16">
        <v>44971</v>
      </c>
      <c r="L195" s="17">
        <v>14000000</v>
      </c>
      <c r="M195" s="17">
        <v>14000000</v>
      </c>
      <c r="N195" s="18">
        <f>6133333.33+7866666.67</f>
        <v>14000000</v>
      </c>
      <c r="O195" s="22" t="s">
        <v>690</v>
      </c>
      <c r="Q195" s="13">
        <v>2462</v>
      </c>
      <c r="R195" s="13" t="s">
        <v>40</v>
      </c>
      <c r="S195" s="13" t="s">
        <v>691</v>
      </c>
      <c r="T195" s="13" t="s">
        <v>16</v>
      </c>
      <c r="U195" s="17">
        <f t="shared" si="8"/>
        <v>0</v>
      </c>
    </row>
    <row r="196" spans="1:21" x14ac:dyDescent="0.3">
      <c r="A196" s="13">
        <v>94</v>
      </c>
      <c r="B196" s="13" t="str">
        <f>+VLOOKUP(A196,'[1]PA 2023'!$A$8:$E$84,5)</f>
        <v>Mantener el servicio atención primaria en salud, atención psicosocial que promueva la salud física, salud mental y el bienestar social de las personas mayores en los centros vida.</v>
      </c>
      <c r="C196" s="14">
        <v>2020680010040</v>
      </c>
      <c r="D196" s="14" t="str">
        <f>+VLOOKUP(C196,'[1]PA 2023'!$G$8:$H$84,2,FALSE)</f>
        <v>IMPLEMENTACIÓN DE ACCIONES TENDIENTES A MEJORAR LAS CONDICIONES DE LOS ADULTOS MAYORES DEL MUNICIPIO DE BUCARAMANGA</v>
      </c>
      <c r="E196" s="13" t="s">
        <v>692</v>
      </c>
      <c r="F196" s="15">
        <v>1444</v>
      </c>
      <c r="G196" s="21" t="s">
        <v>43</v>
      </c>
      <c r="H196" s="21" t="s">
        <v>36</v>
      </c>
      <c r="I196" s="13" t="s">
        <v>693</v>
      </c>
      <c r="J196" s="13" t="s">
        <v>574</v>
      </c>
      <c r="K196" s="16">
        <v>44972</v>
      </c>
      <c r="L196" s="17">
        <v>10500000</v>
      </c>
      <c r="M196" s="17">
        <v>10500000</v>
      </c>
      <c r="N196" s="18">
        <f>4600000+3000000+2900000</f>
        <v>10500000</v>
      </c>
      <c r="O196" s="22" t="s">
        <v>694</v>
      </c>
      <c r="Q196" s="13">
        <v>2474</v>
      </c>
      <c r="R196" s="13" t="s">
        <v>26</v>
      </c>
      <c r="S196" s="13" t="s">
        <v>695</v>
      </c>
      <c r="T196" s="13" t="s">
        <v>16</v>
      </c>
      <c r="U196" s="17">
        <f t="shared" si="8"/>
        <v>0</v>
      </c>
    </row>
    <row r="197" spans="1:21" x14ac:dyDescent="0.3">
      <c r="A197" s="13">
        <v>283</v>
      </c>
      <c r="B197" s="13" t="str">
        <f>+VLOOKUP(A197,'[1]PA 2023'!$A$8:$E$84,5)</f>
        <v>Formular e implementar 1 estrategia que fortalezca la democracia participativa (Ley 1757 de 2015).</v>
      </c>
      <c r="C197" s="14">
        <v>2022680010029</v>
      </c>
      <c r="D197" s="14" t="str">
        <f>+VLOOKUP(C197,'[1]PA 2023'!$G$8:$H$84,2,FALSE)</f>
        <v>FORTALECIMIENTO DE LA PARTICIPACIÓN CIUDADANA EN EL MUNICIPIO DE BUCARAMANGA</v>
      </c>
      <c r="E197" s="13" t="s">
        <v>696</v>
      </c>
      <c r="F197" s="15">
        <v>1445</v>
      </c>
      <c r="G197" s="21" t="s">
        <v>43</v>
      </c>
      <c r="H197" s="21" t="s">
        <v>36</v>
      </c>
      <c r="I197" s="13" t="s">
        <v>697</v>
      </c>
      <c r="J197" s="13" t="s">
        <v>468</v>
      </c>
      <c r="K197" s="16">
        <v>44972</v>
      </c>
      <c r="L197" s="17">
        <v>10500000</v>
      </c>
      <c r="M197" s="17">
        <v>10500000</v>
      </c>
      <c r="N197" s="18">
        <f>4600000+3000000+2900000</f>
        <v>10500000</v>
      </c>
      <c r="O197" s="22" t="s">
        <v>698</v>
      </c>
      <c r="Q197" s="13">
        <v>2475</v>
      </c>
      <c r="R197" s="13" t="s">
        <v>134</v>
      </c>
      <c r="S197" s="13" t="s">
        <v>699</v>
      </c>
      <c r="T197" s="13" t="s">
        <v>16</v>
      </c>
      <c r="U197" s="17">
        <f t="shared" si="8"/>
        <v>0</v>
      </c>
    </row>
    <row r="198" spans="1:21" x14ac:dyDescent="0.3">
      <c r="A198" s="13">
        <v>95</v>
      </c>
      <c r="B198" s="13" t="str">
        <f>+VLOOKUP(A198,'[1]PA 2023'!$A$8:$E$84,5)</f>
        <v>Formular e implementar 1 estrategia que promueva  las actividades psicosociales, actividades artísticas y culturales,   actividades físicas y recreación y actividades productivas en las personas mayores.</v>
      </c>
      <c r="C198" s="14">
        <v>2020680010040</v>
      </c>
      <c r="D198" s="14" t="str">
        <f>+VLOOKUP(C198,'[1]PA 2023'!$G$8:$H$84,2,FALSE)</f>
        <v>IMPLEMENTACIÓN DE ACCIONES TENDIENTES A MEJORAR LAS CONDICIONES DE LOS ADULTOS MAYORES DEL MUNICIPIO DE BUCARAMANGA</v>
      </c>
      <c r="E198" s="13" t="s">
        <v>700</v>
      </c>
      <c r="F198" s="15">
        <v>1441</v>
      </c>
      <c r="G198" s="22" t="s">
        <v>43</v>
      </c>
      <c r="H198" s="21" t="s">
        <v>36</v>
      </c>
      <c r="I198" s="13" t="s">
        <v>701</v>
      </c>
      <c r="J198" s="13" t="s">
        <v>574</v>
      </c>
      <c r="K198" s="16">
        <v>44972</v>
      </c>
      <c r="L198" s="17">
        <v>10500000</v>
      </c>
      <c r="M198" s="17">
        <v>10500000</v>
      </c>
      <c r="N198" s="18">
        <f>4600000+3000000+2900000</f>
        <v>10500000</v>
      </c>
      <c r="O198" s="22" t="s">
        <v>702</v>
      </c>
      <c r="Q198" s="13">
        <v>2477</v>
      </c>
      <c r="R198" s="13" t="s">
        <v>26</v>
      </c>
      <c r="S198" s="13" t="s">
        <v>703</v>
      </c>
      <c r="T198" s="13" t="s">
        <v>16</v>
      </c>
      <c r="U198" s="17">
        <f t="shared" si="8"/>
        <v>0</v>
      </c>
    </row>
    <row r="199" spans="1:21" x14ac:dyDescent="0.3">
      <c r="A199" s="13">
        <v>93</v>
      </c>
      <c r="B199" s="13" t="str">
        <f>+VLOOKUP(A199,'[1]PA 2023'!$A$8:$E$84,5)</f>
        <v>Mantener en funcionamiento los 3 Centros Vida con la prestacion de servicios integrales y/o dotacion de los mismos cumpliendo con la oferta institucional.</v>
      </c>
      <c r="C199" s="14">
        <v>2020680010040</v>
      </c>
      <c r="D199" s="14" t="str">
        <f>+VLOOKUP(C199,'[1]PA 2023'!$G$8:$H$84,2,FALSE)</f>
        <v>IMPLEMENTACIÓN DE ACCIONES TENDIENTES A MEJORAR LAS CONDICIONES DE LOS ADULTOS MAYORES DEL MUNICIPIO DE BUCARAMANGA</v>
      </c>
      <c r="E199" s="13" t="s">
        <v>641</v>
      </c>
      <c r="F199" s="15">
        <v>1450</v>
      </c>
      <c r="G199" s="21" t="s">
        <v>43</v>
      </c>
      <c r="H199" s="21" t="s">
        <v>36</v>
      </c>
      <c r="I199" s="13" t="s">
        <v>704</v>
      </c>
      <c r="J199" s="13" t="s">
        <v>574</v>
      </c>
      <c r="K199" s="16">
        <v>44972</v>
      </c>
      <c r="L199" s="17">
        <v>10500000</v>
      </c>
      <c r="M199" s="17">
        <v>10500000</v>
      </c>
      <c r="N199" s="18">
        <f>4600000+3000000+2900000</f>
        <v>10500000</v>
      </c>
      <c r="O199" s="22" t="s">
        <v>705</v>
      </c>
      <c r="Q199" s="13">
        <v>2494</v>
      </c>
      <c r="R199" s="13" t="s">
        <v>26</v>
      </c>
      <c r="S199" s="13" t="s">
        <v>706</v>
      </c>
      <c r="T199" s="13" t="s">
        <v>16</v>
      </c>
      <c r="U199" s="17">
        <f t="shared" si="8"/>
        <v>0</v>
      </c>
    </row>
    <row r="200" spans="1:21" x14ac:dyDescent="0.3">
      <c r="A200" s="13">
        <v>98</v>
      </c>
      <c r="B200" s="13" t="str">
        <f>+VLOOKUP(A200,'[1]PA 2023'!$A$8:$E$84,5)</f>
        <v>Mantener el 100% del apoyo logístico a las familias beneficiadas del programa Familias en Acción.</v>
      </c>
      <c r="C200" s="14">
        <v>2020680010072</v>
      </c>
      <c r="D200" s="14" t="str">
        <f>+VLOOKUP(C200,'[1]PA 2023'!$G$8:$H$84,2,FALSE)</f>
        <v>APOYO A LA OPERATIVIDAD DEL PROGRAMA NACIONAL MÁS FAMILIAS EN ACCIÓN EN EL MUNICIPIO DE BUCARAMANGA</v>
      </c>
      <c r="E200" s="13" t="s">
        <v>707</v>
      </c>
      <c r="F200" s="15">
        <v>1457</v>
      </c>
      <c r="G200" s="22" t="s">
        <v>35</v>
      </c>
      <c r="H200" s="21" t="s">
        <v>36</v>
      </c>
      <c r="I200" s="13" t="s">
        <v>708</v>
      </c>
      <c r="J200" s="13" t="s">
        <v>472</v>
      </c>
      <c r="K200" s="16">
        <v>44972</v>
      </c>
      <c r="L200" s="17">
        <v>7000000</v>
      </c>
      <c r="M200" s="17">
        <v>7000000</v>
      </c>
      <c r="N200" s="18">
        <f>3000000+2000000+2000000</f>
        <v>7000000</v>
      </c>
      <c r="O200" s="22" t="s">
        <v>709</v>
      </c>
      <c r="Q200" s="13">
        <v>2495</v>
      </c>
      <c r="R200" s="13" t="s">
        <v>473</v>
      </c>
      <c r="S200" s="13" t="s">
        <v>710</v>
      </c>
      <c r="T200" s="13" t="s">
        <v>16</v>
      </c>
      <c r="U200" s="17">
        <f t="shared" si="8"/>
        <v>0</v>
      </c>
    </row>
    <row r="201" spans="1:21" x14ac:dyDescent="0.3">
      <c r="A201" s="13">
        <v>98</v>
      </c>
      <c r="B201" s="13" t="str">
        <f>+VLOOKUP(A201,'[1]PA 2023'!$A$8:$E$84,5)</f>
        <v>Mantener el 100% del apoyo logístico a las familias beneficiadas del programa Familias en Acción.</v>
      </c>
      <c r="C201" s="14">
        <v>2020680010072</v>
      </c>
      <c r="D201" s="14" t="str">
        <f>+VLOOKUP(C201,'[1]PA 2023'!$G$8:$H$84,2,FALSE)</f>
        <v>APOYO A LA OPERATIVIDAD DEL PROGRAMA NACIONAL MÁS FAMILIAS EN ACCIÓN EN EL MUNICIPIO DE BUCARAMANGA</v>
      </c>
      <c r="E201" s="13" t="s">
        <v>711</v>
      </c>
      <c r="F201" s="15">
        <v>1458</v>
      </c>
      <c r="G201" s="22" t="s">
        <v>35</v>
      </c>
      <c r="H201" s="21" t="s">
        <v>36</v>
      </c>
      <c r="I201" s="13" t="s">
        <v>712</v>
      </c>
      <c r="J201" s="13" t="s">
        <v>472</v>
      </c>
      <c r="K201" s="16">
        <v>44972</v>
      </c>
      <c r="L201" s="17">
        <v>7000000</v>
      </c>
      <c r="M201" s="17">
        <v>7000000</v>
      </c>
      <c r="N201" s="18">
        <f>3000000+2000000+2000000</f>
        <v>7000000</v>
      </c>
      <c r="O201" s="22" t="s">
        <v>713</v>
      </c>
      <c r="Q201" s="13">
        <v>2496</v>
      </c>
      <c r="R201" s="13" t="s">
        <v>473</v>
      </c>
      <c r="S201" s="13" t="s">
        <v>714</v>
      </c>
      <c r="T201" s="13" t="s">
        <v>16</v>
      </c>
      <c r="U201" s="17">
        <f t="shared" si="8"/>
        <v>0</v>
      </c>
    </row>
    <row r="202" spans="1:21" x14ac:dyDescent="0.3">
      <c r="A202" s="13">
        <v>88</v>
      </c>
      <c r="B202" s="13" t="str">
        <f>+VLOOKUP(A202,'[1]PA 2023'!$A$8:$E$84,5)</f>
        <v>Beneficiar y mantener a 11.000 personas mayores con el programa Colombia Mayor.</v>
      </c>
      <c r="C202" s="14">
        <v>2020680010040</v>
      </c>
      <c r="D202" s="14" t="str">
        <f>+VLOOKUP(C202,'[1]PA 2023'!$G$8:$H$84,2,FALSE)</f>
        <v>IMPLEMENTACIÓN DE ACCIONES TENDIENTES A MEJORAR LAS CONDICIONES DE LOS ADULTOS MAYORES DEL MUNICIPIO DE BUCARAMANGA</v>
      </c>
      <c r="E202" s="13" t="s">
        <v>715</v>
      </c>
      <c r="F202" s="15">
        <v>1472</v>
      </c>
      <c r="G202" s="21" t="s">
        <v>43</v>
      </c>
      <c r="H202" s="21" t="s">
        <v>36</v>
      </c>
      <c r="I202" s="13" t="s">
        <v>716</v>
      </c>
      <c r="J202" s="13" t="s">
        <v>574</v>
      </c>
      <c r="K202" s="16">
        <v>44972</v>
      </c>
      <c r="L202" s="17">
        <v>10500000</v>
      </c>
      <c r="M202" s="17">
        <v>10500000</v>
      </c>
      <c r="N202" s="18">
        <f>4500000+3000000+3000000</f>
        <v>10500000</v>
      </c>
      <c r="O202" s="22" t="s">
        <v>717</v>
      </c>
      <c r="Q202" s="13">
        <v>2518</v>
      </c>
      <c r="R202" s="13" t="s">
        <v>26</v>
      </c>
      <c r="S202" s="13" t="s">
        <v>718</v>
      </c>
      <c r="T202" s="13" t="s">
        <v>16</v>
      </c>
      <c r="U202" s="17">
        <f t="shared" si="8"/>
        <v>0</v>
      </c>
    </row>
    <row r="203" spans="1:21" x14ac:dyDescent="0.3">
      <c r="A203" s="13">
        <v>283</v>
      </c>
      <c r="B203" s="13" t="str">
        <f>+VLOOKUP(A203,'[1]PA 2023'!$A$8:$E$84,5)</f>
        <v>Formular e implementar 1 estrategia que fortalezca la democracia participativa (Ley 1757 de 2015).</v>
      </c>
      <c r="C203" s="14">
        <v>2022680010029</v>
      </c>
      <c r="D203" s="14" t="str">
        <f>+VLOOKUP(C203,'[1]PA 2023'!$G$8:$H$84,2,FALSE)</f>
        <v>FORTALECIMIENTO DE LA PARTICIPACIÓN CIUDADANA EN EL MUNICIPIO DE BUCARAMANGA</v>
      </c>
      <c r="E203" s="13" t="s">
        <v>719</v>
      </c>
      <c r="F203" s="15">
        <v>1488</v>
      </c>
      <c r="G203" s="21" t="s">
        <v>35</v>
      </c>
      <c r="H203" s="21" t="s">
        <v>36</v>
      </c>
      <c r="I203" s="13" t="s">
        <v>720</v>
      </c>
      <c r="J203" s="13" t="s">
        <v>468</v>
      </c>
      <c r="K203" s="16">
        <v>44972</v>
      </c>
      <c r="L203" s="17">
        <v>8400000</v>
      </c>
      <c r="M203" s="17">
        <v>8400000</v>
      </c>
      <c r="N203" s="18">
        <f>3600000+2400000+2400000</f>
        <v>8400000</v>
      </c>
      <c r="O203" s="22" t="s">
        <v>721</v>
      </c>
      <c r="Q203" s="13">
        <v>2519</v>
      </c>
      <c r="R203" s="13" t="s">
        <v>134</v>
      </c>
      <c r="S203" s="13" t="s">
        <v>722</v>
      </c>
      <c r="T203" s="13" t="s">
        <v>16</v>
      </c>
      <c r="U203" s="17">
        <f t="shared" si="8"/>
        <v>0</v>
      </c>
    </row>
    <row r="204" spans="1:21" x14ac:dyDescent="0.3">
      <c r="A204" s="13">
        <v>98</v>
      </c>
      <c r="B204" s="13" t="str">
        <f>+VLOOKUP(A204,'[1]PA 2023'!$A$8:$E$84,5)</f>
        <v>Mantener el 100% del apoyo logístico a las familias beneficiadas del programa Familias en Acción.</v>
      </c>
      <c r="C204" s="14">
        <v>2020680010072</v>
      </c>
      <c r="D204" s="14" t="str">
        <f>+VLOOKUP(C204,'[1]PA 2023'!$G$8:$H$84,2,FALSE)</f>
        <v>APOYO A LA OPERATIVIDAD DEL PROGRAMA NACIONAL MÁS FAMILIAS EN ACCIÓN EN EL MUNICIPIO DE BUCARAMANGA</v>
      </c>
      <c r="E204" s="13" t="s">
        <v>723</v>
      </c>
      <c r="F204" s="15">
        <v>1489</v>
      </c>
      <c r="G204" s="22" t="s">
        <v>35</v>
      </c>
      <c r="H204" s="21" t="s">
        <v>36</v>
      </c>
      <c r="I204" s="13" t="s">
        <v>724</v>
      </c>
      <c r="J204" s="13" t="s">
        <v>472</v>
      </c>
      <c r="K204" s="16">
        <v>44972</v>
      </c>
      <c r="L204" s="17">
        <v>7000000</v>
      </c>
      <c r="M204" s="17">
        <v>7000000</v>
      </c>
      <c r="N204" s="18">
        <f>3000000+2000000+2000000</f>
        <v>7000000</v>
      </c>
      <c r="O204" s="22" t="s">
        <v>725</v>
      </c>
      <c r="Q204" s="13">
        <v>2520</v>
      </c>
      <c r="R204" s="13" t="s">
        <v>473</v>
      </c>
      <c r="S204" s="13" t="s">
        <v>726</v>
      </c>
      <c r="T204" s="13" t="s">
        <v>16</v>
      </c>
      <c r="U204" s="17">
        <f t="shared" si="8"/>
        <v>0</v>
      </c>
    </row>
    <row r="205" spans="1:21" x14ac:dyDescent="0.3">
      <c r="A205" s="13">
        <v>285</v>
      </c>
      <c r="B205" s="13" t="str">
        <f>+VLOOKUP(A205,'[1]PA 2023'!$A$8:$E$84,5)</f>
        <v>Mantener en funcionamiento el 100% de los salones comunales que hacen parte del programa Ágoras.</v>
      </c>
      <c r="C205" s="14">
        <v>2022680010029</v>
      </c>
      <c r="D205" s="14" t="str">
        <f>+VLOOKUP(C205,'[1]PA 2023'!$G$8:$H$84,2,FALSE)</f>
        <v>FORTALECIMIENTO DE LA PARTICIPACIÓN CIUDADANA EN EL MUNICIPIO DE BUCARAMANGA</v>
      </c>
      <c r="E205" s="13" t="s">
        <v>681</v>
      </c>
      <c r="F205" s="15">
        <v>1487</v>
      </c>
      <c r="G205" s="21" t="s">
        <v>35</v>
      </c>
      <c r="H205" s="21" t="s">
        <v>36</v>
      </c>
      <c r="I205" s="13" t="s">
        <v>727</v>
      </c>
      <c r="J205" s="13" t="s">
        <v>468</v>
      </c>
      <c r="K205" s="16">
        <v>44972</v>
      </c>
      <c r="L205" s="17">
        <v>6300000</v>
      </c>
      <c r="M205" s="17">
        <v>6300000</v>
      </c>
      <c r="N205" s="18">
        <f>2700000+1800000+1800000</f>
        <v>6300000</v>
      </c>
      <c r="O205" s="22" t="s">
        <v>728</v>
      </c>
      <c r="Q205" s="13">
        <v>2521</v>
      </c>
      <c r="R205" s="13" t="s">
        <v>134</v>
      </c>
      <c r="S205" s="13" t="s">
        <v>729</v>
      </c>
      <c r="T205" s="13" t="s">
        <v>16</v>
      </c>
      <c r="U205" s="17">
        <f t="shared" si="8"/>
        <v>0</v>
      </c>
    </row>
    <row r="206" spans="1:21" x14ac:dyDescent="0.3">
      <c r="A206" s="13">
        <v>93</v>
      </c>
      <c r="B206" s="13" t="str">
        <f>+VLOOKUP(A206,'[1]PA 2023'!$A$8:$E$84,5)</f>
        <v>Mantener en funcionamiento los 3 Centros Vida con la prestacion de servicios integrales y/o dotacion de los mismos cumpliendo con la oferta institucional.</v>
      </c>
      <c r="C206" s="14">
        <v>2020680010040</v>
      </c>
      <c r="D206" s="14" t="str">
        <f>+VLOOKUP(C206,'[1]PA 2023'!$G$8:$H$84,2,FALSE)</f>
        <v>IMPLEMENTACIÓN DE ACCIONES TENDIENTES A MEJORAR LAS CONDICIONES DE LOS ADULTOS MAYORES DEL MUNICIPIO DE BUCARAMANGA</v>
      </c>
      <c r="E206" s="13" t="s">
        <v>641</v>
      </c>
      <c r="F206" s="15">
        <v>1497</v>
      </c>
      <c r="G206" s="21" t="s">
        <v>43</v>
      </c>
      <c r="H206" s="21" t="s">
        <v>36</v>
      </c>
      <c r="I206" s="13" t="s">
        <v>730</v>
      </c>
      <c r="J206" s="13" t="s">
        <v>574</v>
      </c>
      <c r="K206" s="16">
        <v>44973</v>
      </c>
      <c r="L206" s="17">
        <v>10500000</v>
      </c>
      <c r="M206" s="17">
        <v>10500000</v>
      </c>
      <c r="N206" s="18">
        <f>3000000+1500000+3000000+3000000</f>
        <v>10500000</v>
      </c>
      <c r="O206" s="22" t="s">
        <v>731</v>
      </c>
      <c r="Q206" s="13">
        <v>2523</v>
      </c>
      <c r="R206" s="13" t="s">
        <v>26</v>
      </c>
      <c r="S206" s="13" t="s">
        <v>732</v>
      </c>
      <c r="T206" s="13" t="s">
        <v>16</v>
      </c>
      <c r="U206" s="17">
        <f t="shared" si="8"/>
        <v>0</v>
      </c>
    </row>
    <row r="207" spans="1:21" x14ac:dyDescent="0.3">
      <c r="A207" s="13">
        <v>283</v>
      </c>
      <c r="B207" s="13" t="str">
        <f>+VLOOKUP(A207,'[1]PA 2023'!$A$8:$E$84,5)</f>
        <v>Formular e implementar 1 estrategia que fortalezca la democracia participativa (Ley 1757 de 2015).</v>
      </c>
      <c r="C207" s="14">
        <v>2022680010029</v>
      </c>
      <c r="D207" s="14" t="str">
        <f>+VLOOKUP(C207,'[1]PA 2023'!$G$8:$H$84,2,FALSE)</f>
        <v>FORTALECIMIENTO DE LA PARTICIPACIÓN CIUDADANA EN EL MUNICIPIO DE BUCARAMANGA</v>
      </c>
      <c r="E207" s="13" t="s">
        <v>733</v>
      </c>
      <c r="F207" s="15">
        <v>1495</v>
      </c>
      <c r="G207" s="21" t="s">
        <v>43</v>
      </c>
      <c r="H207" s="21" t="s">
        <v>36</v>
      </c>
      <c r="I207" s="13" t="s">
        <v>734</v>
      </c>
      <c r="J207" s="13" t="s">
        <v>468</v>
      </c>
      <c r="K207" s="16">
        <v>44973</v>
      </c>
      <c r="L207" s="17">
        <v>10500000</v>
      </c>
      <c r="M207" s="17">
        <v>10500000</v>
      </c>
      <c r="N207" s="18">
        <f>4500000+3000000+3000000</f>
        <v>10500000</v>
      </c>
      <c r="O207" s="22" t="s">
        <v>735</v>
      </c>
      <c r="Q207" s="13">
        <v>2524</v>
      </c>
      <c r="R207" s="13" t="s">
        <v>134</v>
      </c>
      <c r="S207" s="13" t="s">
        <v>736</v>
      </c>
      <c r="T207" s="13" t="s">
        <v>16</v>
      </c>
      <c r="U207" s="17">
        <f t="shared" si="8"/>
        <v>0</v>
      </c>
    </row>
    <row r="208" spans="1:21" x14ac:dyDescent="0.3">
      <c r="A208" s="13">
        <v>93</v>
      </c>
      <c r="B208" s="13" t="str">
        <f>+VLOOKUP(A208,'[1]PA 2023'!$A$8:$E$84,5)</f>
        <v>Mantener en funcionamiento los 3 Centros Vida con la prestacion de servicios integrales y/o dotacion de los mismos cumpliendo con la oferta institucional.</v>
      </c>
      <c r="C208" s="14">
        <v>2020680010040</v>
      </c>
      <c r="D208" s="14" t="str">
        <f>+VLOOKUP(C208,'[1]PA 2023'!$G$8:$H$84,2,FALSE)</f>
        <v>IMPLEMENTACIÓN DE ACCIONES TENDIENTES A MEJORAR LAS CONDICIONES DE LOS ADULTOS MAYORES DEL MUNICIPIO DE BUCARAMANGA</v>
      </c>
      <c r="E208" s="13" t="s">
        <v>737</v>
      </c>
      <c r="F208" s="15">
        <v>1494</v>
      </c>
      <c r="G208" s="21" t="s">
        <v>43</v>
      </c>
      <c r="H208" s="21" t="s">
        <v>36</v>
      </c>
      <c r="I208" s="13" t="s">
        <v>738</v>
      </c>
      <c r="J208" s="13" t="s">
        <v>574</v>
      </c>
      <c r="K208" s="16">
        <v>44973</v>
      </c>
      <c r="L208" s="17">
        <v>12250000</v>
      </c>
      <c r="M208" s="17">
        <v>12250000</v>
      </c>
      <c r="N208" s="18">
        <f>5250000+3500000+3500000</f>
        <v>12250000</v>
      </c>
      <c r="O208" s="22" t="s">
        <v>739</v>
      </c>
      <c r="Q208" s="13">
        <v>2525</v>
      </c>
      <c r="R208" s="13" t="s">
        <v>26</v>
      </c>
      <c r="S208" s="13" t="s">
        <v>740</v>
      </c>
      <c r="T208" s="13" t="s">
        <v>16</v>
      </c>
      <c r="U208" s="17">
        <f t="shared" si="8"/>
        <v>0</v>
      </c>
    </row>
    <row r="209" spans="1:21" x14ac:dyDescent="0.3">
      <c r="A209" s="13">
        <v>285</v>
      </c>
      <c r="B209" s="13" t="str">
        <f>+VLOOKUP(A209,'[1]PA 2023'!$A$8:$E$84,5)</f>
        <v>Mantener en funcionamiento el 100% de los salones comunales que hacen parte del programa Ágoras.</v>
      </c>
      <c r="C209" s="14">
        <v>2022680010029</v>
      </c>
      <c r="D209" s="14" t="str">
        <f>+VLOOKUP(C209,'[1]PA 2023'!$G$8:$H$84,2,FALSE)</f>
        <v>FORTALECIMIENTO DE LA PARTICIPACIÓN CIUDADANA EN EL MUNICIPIO DE BUCARAMANGA</v>
      </c>
      <c r="E209" s="13" t="s">
        <v>681</v>
      </c>
      <c r="F209" s="15">
        <v>1492</v>
      </c>
      <c r="G209" s="21" t="s">
        <v>35</v>
      </c>
      <c r="H209" s="21" t="s">
        <v>36</v>
      </c>
      <c r="I209" s="13" t="s">
        <v>741</v>
      </c>
      <c r="J209" s="13" t="s">
        <v>468</v>
      </c>
      <c r="K209" s="16">
        <v>44973</v>
      </c>
      <c r="L209" s="17">
        <v>6300000</v>
      </c>
      <c r="M209" s="17">
        <v>6300000</v>
      </c>
      <c r="N209" s="18">
        <f>2700000+1800000+1800000</f>
        <v>6300000</v>
      </c>
      <c r="O209" s="22" t="s">
        <v>742</v>
      </c>
      <c r="Q209" s="13">
        <v>2526</v>
      </c>
      <c r="R209" s="13" t="s">
        <v>134</v>
      </c>
      <c r="S209" s="13" t="s">
        <v>743</v>
      </c>
      <c r="T209" s="13" t="s">
        <v>16</v>
      </c>
      <c r="U209" s="17">
        <f t="shared" si="8"/>
        <v>0</v>
      </c>
    </row>
    <row r="210" spans="1:21" x14ac:dyDescent="0.3">
      <c r="A210" s="13">
        <v>285</v>
      </c>
      <c r="B210" s="13" t="str">
        <f>+VLOOKUP(A210,'[1]PA 2023'!$A$8:$E$84,5)</f>
        <v>Mantener en funcionamiento el 100% de los salones comunales que hacen parte del programa Ágoras.</v>
      </c>
      <c r="C210" s="14">
        <v>2022680010029</v>
      </c>
      <c r="D210" s="14" t="str">
        <f>+VLOOKUP(C210,'[1]PA 2023'!$G$8:$H$84,2,FALSE)</f>
        <v>FORTALECIMIENTO DE LA PARTICIPACIÓN CIUDADANA EN EL MUNICIPIO DE BUCARAMANGA</v>
      </c>
      <c r="E210" s="13" t="s">
        <v>681</v>
      </c>
      <c r="F210" s="15">
        <v>1491</v>
      </c>
      <c r="G210" s="21" t="s">
        <v>35</v>
      </c>
      <c r="H210" s="21" t="s">
        <v>36</v>
      </c>
      <c r="I210" s="13" t="s">
        <v>744</v>
      </c>
      <c r="J210" s="13" t="s">
        <v>468</v>
      </c>
      <c r="K210" s="16">
        <v>44973</v>
      </c>
      <c r="L210" s="17">
        <v>6300000</v>
      </c>
      <c r="M210" s="17">
        <v>6300000</v>
      </c>
      <c r="N210" s="18">
        <f>2700000+1800000</f>
        <v>4500000</v>
      </c>
      <c r="O210" s="22" t="s">
        <v>745</v>
      </c>
      <c r="Q210" s="13">
        <v>2527</v>
      </c>
      <c r="R210" s="23" t="s">
        <v>134</v>
      </c>
      <c r="S210" s="13" t="s">
        <v>746</v>
      </c>
      <c r="T210" s="13" t="s">
        <v>16</v>
      </c>
      <c r="U210" s="17">
        <f>+M210-N210+M520</f>
        <v>3706666.67</v>
      </c>
    </row>
    <row r="211" spans="1:21" x14ac:dyDescent="0.3">
      <c r="A211" s="13">
        <v>285</v>
      </c>
      <c r="B211" s="13" t="str">
        <f>+VLOOKUP(A211,'[1]PA 2023'!$A$8:$E$84,5)</f>
        <v>Mantener en funcionamiento el 100% de los salones comunales que hacen parte del programa Ágoras.</v>
      </c>
      <c r="C211" s="14">
        <v>2022680010029</v>
      </c>
      <c r="D211" s="14" t="str">
        <f>+VLOOKUP(C211,'[1]PA 2023'!$G$8:$H$84,2,FALSE)</f>
        <v>FORTALECIMIENTO DE LA PARTICIPACIÓN CIUDADANA EN EL MUNICIPIO DE BUCARAMANGA</v>
      </c>
      <c r="E211" s="13" t="s">
        <v>637</v>
      </c>
      <c r="F211" s="15">
        <v>1496</v>
      </c>
      <c r="G211" s="21" t="s">
        <v>35</v>
      </c>
      <c r="H211" s="21" t="s">
        <v>36</v>
      </c>
      <c r="I211" s="13" t="s">
        <v>747</v>
      </c>
      <c r="J211" s="13" t="s">
        <v>468</v>
      </c>
      <c r="K211" s="16">
        <v>44973</v>
      </c>
      <c r="L211" s="17">
        <v>6300000</v>
      </c>
      <c r="M211" s="17">
        <v>6300000</v>
      </c>
      <c r="N211" s="18">
        <f>2700000+1800000+1800000</f>
        <v>6300000</v>
      </c>
      <c r="O211" s="22" t="s">
        <v>748</v>
      </c>
      <c r="Q211" s="13">
        <v>2528</v>
      </c>
      <c r="R211" s="13" t="s">
        <v>134</v>
      </c>
      <c r="S211" s="13" t="s">
        <v>749</v>
      </c>
      <c r="T211" s="13" t="s">
        <v>16</v>
      </c>
      <c r="U211" s="17">
        <f t="shared" ref="U211:U274" si="9">+M211-N211</f>
        <v>0</v>
      </c>
    </row>
    <row r="212" spans="1:21" x14ac:dyDescent="0.3">
      <c r="A212" s="13">
        <v>285</v>
      </c>
      <c r="B212" s="13" t="str">
        <f>+VLOOKUP(A212,'[1]PA 2023'!$A$8:$E$84,5)</f>
        <v>Mantener en funcionamiento el 100% de los salones comunales que hacen parte del programa Ágoras.</v>
      </c>
      <c r="C212" s="14">
        <v>2022680010029</v>
      </c>
      <c r="D212" s="14" t="str">
        <f>+VLOOKUP(C212,'[1]PA 2023'!$G$8:$H$84,2,FALSE)</f>
        <v>FORTALECIMIENTO DE LA PARTICIPACIÓN CIUDADANA EN EL MUNICIPIO DE BUCARAMANGA</v>
      </c>
      <c r="E212" s="13" t="s">
        <v>681</v>
      </c>
      <c r="F212" s="15">
        <v>1493</v>
      </c>
      <c r="G212" s="21" t="s">
        <v>35</v>
      </c>
      <c r="H212" s="21" t="s">
        <v>36</v>
      </c>
      <c r="I212" s="13" t="s">
        <v>750</v>
      </c>
      <c r="J212" s="13" t="s">
        <v>468</v>
      </c>
      <c r="K212" s="16">
        <v>44973</v>
      </c>
      <c r="L212" s="17">
        <v>6300000</v>
      </c>
      <c r="M212" s="17">
        <v>6300000</v>
      </c>
      <c r="N212" s="18">
        <f>2700000+1800000+1800000</f>
        <v>6300000</v>
      </c>
      <c r="O212" s="22" t="s">
        <v>751</v>
      </c>
      <c r="Q212" s="13">
        <v>2534</v>
      </c>
      <c r="R212" s="13" t="s">
        <v>134</v>
      </c>
      <c r="S212" s="13" t="s">
        <v>752</v>
      </c>
      <c r="T212" s="13" t="s">
        <v>16</v>
      </c>
      <c r="U212" s="17">
        <f t="shared" si="9"/>
        <v>0</v>
      </c>
    </row>
    <row r="213" spans="1:21" x14ac:dyDescent="0.3">
      <c r="A213" s="13">
        <v>300</v>
      </c>
      <c r="B213" s="13" t="str">
        <f>+VLOOKUP(A213,'[1]PA 2023'!$A$8:$E$84,5)</f>
        <v>Mantener el 100% de los programas que desarrolla la Administración Central.</v>
      </c>
      <c r="C213" s="14">
        <v>2020680010025</v>
      </c>
      <c r="D213" s="14" t="str">
        <f>+VLOOKUP(C213,'[1]PA 2023'!$G$8:$H$84,2,FALSE)</f>
        <v>MEJORAMIENTO DE LOS PROCESOS TRANSVERSALES PARA UNA ADMINISTRACIÓN PUBLICA MODERNA Y EFICIENTE EN LA SECRETARÍA DE DESARROLLO SOCIAL DEL MUNICIPIO BUCARAMANGA</v>
      </c>
      <c r="E213" s="13" t="s">
        <v>753</v>
      </c>
      <c r="F213" s="15">
        <v>1502</v>
      </c>
      <c r="G213" s="21" t="s">
        <v>35</v>
      </c>
      <c r="H213" s="21" t="s">
        <v>36</v>
      </c>
      <c r="I213" s="13" t="s">
        <v>754</v>
      </c>
      <c r="J213" s="13" t="s">
        <v>38</v>
      </c>
      <c r="K213" s="16">
        <v>44973</v>
      </c>
      <c r="L213" s="17">
        <v>9800000</v>
      </c>
      <c r="M213" s="17">
        <v>9800000</v>
      </c>
      <c r="N213" s="18">
        <f>4200000+2800000+2800000</f>
        <v>9800000</v>
      </c>
      <c r="O213" s="22" t="s">
        <v>755</v>
      </c>
      <c r="Q213" s="13">
        <v>2535</v>
      </c>
      <c r="R213" s="13" t="s">
        <v>40</v>
      </c>
      <c r="S213" s="13" t="s">
        <v>756</v>
      </c>
      <c r="T213" s="13" t="s">
        <v>16</v>
      </c>
      <c r="U213" s="17">
        <f t="shared" si="9"/>
        <v>0</v>
      </c>
    </row>
    <row r="214" spans="1:21" x14ac:dyDescent="0.3">
      <c r="A214" s="13">
        <v>285</v>
      </c>
      <c r="B214" s="13" t="str">
        <f>+VLOOKUP(A214,'[1]PA 2023'!$A$8:$E$84,5)</f>
        <v>Mantener en funcionamiento el 100% de los salones comunales que hacen parte del programa Ágoras.</v>
      </c>
      <c r="C214" s="14">
        <v>2022680010029</v>
      </c>
      <c r="D214" s="14" t="str">
        <f>+VLOOKUP(C214,'[1]PA 2023'!$G$8:$H$84,2,FALSE)</f>
        <v>FORTALECIMIENTO DE LA PARTICIPACIÓN CIUDADANA EN EL MUNICIPIO DE BUCARAMANGA</v>
      </c>
      <c r="E214" s="13" t="s">
        <v>681</v>
      </c>
      <c r="F214" s="15">
        <v>1505</v>
      </c>
      <c r="G214" s="21" t="s">
        <v>35</v>
      </c>
      <c r="H214" s="21" t="s">
        <v>36</v>
      </c>
      <c r="I214" s="13" t="s">
        <v>757</v>
      </c>
      <c r="J214" s="13" t="s">
        <v>468</v>
      </c>
      <c r="K214" s="16">
        <v>44973</v>
      </c>
      <c r="L214" s="17">
        <v>6300000</v>
      </c>
      <c r="M214" s="17">
        <v>6300000</v>
      </c>
      <c r="N214" s="18">
        <f>2700000+1800000+1800000</f>
        <v>6300000</v>
      </c>
      <c r="O214" s="22" t="s">
        <v>758</v>
      </c>
      <c r="Q214" s="13">
        <v>2536</v>
      </c>
      <c r="R214" s="13" t="s">
        <v>134</v>
      </c>
      <c r="S214" s="13" t="s">
        <v>759</v>
      </c>
      <c r="T214" s="13" t="s">
        <v>16</v>
      </c>
      <c r="U214" s="17">
        <f t="shared" si="9"/>
        <v>0</v>
      </c>
    </row>
    <row r="215" spans="1:21" x14ac:dyDescent="0.3">
      <c r="A215" s="13">
        <v>285</v>
      </c>
      <c r="B215" s="13" t="str">
        <f>+VLOOKUP(A215,'[1]PA 2023'!$A$8:$E$84,5)</f>
        <v>Mantener en funcionamiento el 100% de los salones comunales que hacen parte del programa Ágoras.</v>
      </c>
      <c r="C215" s="14">
        <v>2022680010029</v>
      </c>
      <c r="D215" s="14" t="str">
        <f>+VLOOKUP(C215,'[1]PA 2023'!$G$8:$H$84,2,FALSE)</f>
        <v>FORTALECIMIENTO DE LA PARTICIPACIÓN CIUDADANA EN EL MUNICIPIO DE BUCARAMANGA</v>
      </c>
      <c r="E215" s="13" t="s">
        <v>681</v>
      </c>
      <c r="F215" s="15">
        <v>1503</v>
      </c>
      <c r="G215" s="21" t="s">
        <v>35</v>
      </c>
      <c r="H215" s="21" t="s">
        <v>36</v>
      </c>
      <c r="I215" s="13" t="s">
        <v>760</v>
      </c>
      <c r="J215" s="13" t="s">
        <v>468</v>
      </c>
      <c r="K215" s="16">
        <v>44973</v>
      </c>
      <c r="L215" s="17">
        <v>6300000</v>
      </c>
      <c r="M215" s="17">
        <v>6300000</v>
      </c>
      <c r="N215" s="18">
        <f>2700000+1800000+1800000</f>
        <v>6300000</v>
      </c>
      <c r="O215" s="22" t="s">
        <v>761</v>
      </c>
      <c r="Q215" s="13">
        <v>2537</v>
      </c>
      <c r="R215" s="13" t="s">
        <v>134</v>
      </c>
      <c r="S215" s="13" t="s">
        <v>762</v>
      </c>
      <c r="T215" s="13" t="s">
        <v>16</v>
      </c>
      <c r="U215" s="17">
        <f t="shared" si="9"/>
        <v>0</v>
      </c>
    </row>
    <row r="216" spans="1:21" x14ac:dyDescent="0.3">
      <c r="A216" s="13">
        <v>285</v>
      </c>
      <c r="B216" s="13" t="str">
        <f>+VLOOKUP(A216,'[1]PA 2023'!$A$8:$E$84,5)</f>
        <v>Mantener en funcionamiento el 100% de los salones comunales que hacen parte del programa Ágoras.</v>
      </c>
      <c r="C216" s="14">
        <v>2022680010029</v>
      </c>
      <c r="D216" s="14" t="str">
        <f>+VLOOKUP(C216,'[1]PA 2023'!$G$8:$H$84,2,FALSE)</f>
        <v>FORTALECIMIENTO DE LA PARTICIPACIÓN CIUDADANA EN EL MUNICIPIO DE BUCARAMANGA</v>
      </c>
      <c r="E216" s="13" t="s">
        <v>637</v>
      </c>
      <c r="F216" s="15">
        <v>1484</v>
      </c>
      <c r="G216" s="21" t="s">
        <v>35</v>
      </c>
      <c r="H216" s="21" t="s">
        <v>36</v>
      </c>
      <c r="I216" s="13" t="s">
        <v>763</v>
      </c>
      <c r="J216" s="13" t="s">
        <v>468</v>
      </c>
      <c r="K216" s="16">
        <v>44973</v>
      </c>
      <c r="L216" s="17">
        <v>6000000</v>
      </c>
      <c r="M216" s="17">
        <v>6000000</v>
      </c>
      <c r="N216" s="18">
        <f>2700000+1800000+1500000</f>
        <v>6000000</v>
      </c>
      <c r="O216" s="22" t="s">
        <v>764</v>
      </c>
      <c r="Q216" s="13">
        <v>2538</v>
      </c>
      <c r="R216" s="13" t="s">
        <v>134</v>
      </c>
      <c r="S216" s="13" t="s">
        <v>765</v>
      </c>
      <c r="T216" s="13" t="s">
        <v>16</v>
      </c>
      <c r="U216" s="17">
        <f t="shared" si="9"/>
        <v>0</v>
      </c>
    </row>
    <row r="217" spans="1:21" x14ac:dyDescent="0.3">
      <c r="A217" s="13">
        <v>113</v>
      </c>
      <c r="B217" s="13" t="str">
        <f>+VLOOKUP(A217,'[1]PA 2023'!$A$8:$E$84,5)</f>
        <v>Formular e implementar 1 política pública para habitante de calle.</v>
      </c>
      <c r="C217" s="14">
        <v>2020680010050</v>
      </c>
      <c r="D217" s="14" t="str">
        <f>+VLOOKUP(C217,'[1]PA 2023'!$G$8:$H$84,2,FALSE)</f>
        <v>DESARROLLO DE ACCIONES ENCAMINADAS A GENERAR ATENCIÓN INTEGRAL HACIA LA POBLACIÓN HABITANTES EN SITUACIÓN DE CALLE DEL MUNICIPIO DE BUCARAMANGA</v>
      </c>
      <c r="E217" s="13" t="s">
        <v>766</v>
      </c>
      <c r="F217" s="15">
        <v>1509</v>
      </c>
      <c r="G217" s="21" t="s">
        <v>43</v>
      </c>
      <c r="H217" s="21" t="s">
        <v>36</v>
      </c>
      <c r="I217" s="13" t="s">
        <v>767</v>
      </c>
      <c r="J217" s="13" t="s">
        <v>768</v>
      </c>
      <c r="K217" s="16">
        <v>44973</v>
      </c>
      <c r="L217" s="17">
        <v>16666666.67</v>
      </c>
      <c r="M217" s="17">
        <v>16666666.67</v>
      </c>
      <c r="N217" s="18">
        <f>7500000+5000000+4166666.67</f>
        <v>16666666.67</v>
      </c>
      <c r="O217" s="22" t="s">
        <v>769</v>
      </c>
      <c r="Q217" s="13">
        <v>2539</v>
      </c>
      <c r="R217" s="13" t="s">
        <v>770</v>
      </c>
      <c r="S217" s="13" t="s">
        <v>771</v>
      </c>
      <c r="T217" s="13" t="s">
        <v>16</v>
      </c>
      <c r="U217" s="17">
        <f t="shared" si="9"/>
        <v>0</v>
      </c>
    </row>
    <row r="218" spans="1:21" x14ac:dyDescent="0.3">
      <c r="A218" s="13">
        <v>285</v>
      </c>
      <c r="B218" s="13" t="str">
        <f>+VLOOKUP(A218,'[1]PA 2023'!$A$8:$E$84,5)</f>
        <v>Mantener en funcionamiento el 100% de los salones comunales que hacen parte del programa Ágoras.</v>
      </c>
      <c r="C218" s="14">
        <v>2022680010029</v>
      </c>
      <c r="D218" s="14" t="str">
        <f>+VLOOKUP(C218,'[1]PA 2023'!$G$8:$H$84,2,FALSE)</f>
        <v>FORTALECIMIENTO DE LA PARTICIPACIÓN CIUDADANA EN EL MUNICIPIO DE BUCARAMANGA</v>
      </c>
      <c r="E218" s="13" t="s">
        <v>681</v>
      </c>
      <c r="F218" s="15">
        <v>1507</v>
      </c>
      <c r="G218" s="21" t="s">
        <v>35</v>
      </c>
      <c r="H218" s="21" t="s">
        <v>36</v>
      </c>
      <c r="I218" s="13" t="s">
        <v>772</v>
      </c>
      <c r="J218" s="13" t="s">
        <v>468</v>
      </c>
      <c r="K218" s="16">
        <v>44973</v>
      </c>
      <c r="L218" s="17">
        <v>6300000</v>
      </c>
      <c r="M218" s="17">
        <v>6300000</v>
      </c>
      <c r="N218" s="18">
        <f>2700000+1800000+1800000</f>
        <v>6300000</v>
      </c>
      <c r="O218" s="22" t="s">
        <v>773</v>
      </c>
      <c r="Q218" s="13">
        <v>2540</v>
      </c>
      <c r="R218" s="13" t="s">
        <v>134</v>
      </c>
      <c r="S218" s="13" t="s">
        <v>774</v>
      </c>
      <c r="T218" s="13" t="s">
        <v>16</v>
      </c>
      <c r="U218" s="17">
        <f t="shared" si="9"/>
        <v>0</v>
      </c>
    </row>
    <row r="219" spans="1:21" x14ac:dyDescent="0.3">
      <c r="A219" s="13">
        <v>113</v>
      </c>
      <c r="B219" s="13" t="str">
        <f>+VLOOKUP(A219,'[1]PA 2023'!$A$8:$E$84,5)</f>
        <v>Formular e implementar 1 política pública para habitante de calle.</v>
      </c>
      <c r="C219" s="14">
        <v>2020680010050</v>
      </c>
      <c r="D219" s="14" t="str">
        <f>+VLOOKUP(C219,'[1]PA 2023'!$G$8:$H$84,2,FALSE)</f>
        <v>DESARROLLO DE ACCIONES ENCAMINADAS A GENERAR ATENCIÓN INTEGRAL HACIA LA POBLACIÓN HABITANTES EN SITUACIÓN DE CALLE DEL MUNICIPIO DE BUCARAMANGA</v>
      </c>
      <c r="E219" s="13" t="s">
        <v>775</v>
      </c>
      <c r="F219" s="15">
        <v>1510</v>
      </c>
      <c r="G219" s="21" t="s">
        <v>43</v>
      </c>
      <c r="H219" s="21" t="s">
        <v>36</v>
      </c>
      <c r="I219" s="13" t="s">
        <v>776</v>
      </c>
      <c r="J219" s="13" t="s">
        <v>768</v>
      </c>
      <c r="K219" s="16">
        <v>44973</v>
      </c>
      <c r="L219" s="17">
        <v>10000000</v>
      </c>
      <c r="M219" s="17">
        <v>10000000</v>
      </c>
      <c r="N219" s="18">
        <f>4500000+3000000+2500000</f>
        <v>10000000</v>
      </c>
      <c r="O219" s="22" t="s">
        <v>777</v>
      </c>
      <c r="Q219" s="13">
        <v>2541</v>
      </c>
      <c r="R219" s="13" t="s">
        <v>770</v>
      </c>
      <c r="S219" s="13" t="s">
        <v>778</v>
      </c>
      <c r="T219" s="13" t="s">
        <v>16</v>
      </c>
      <c r="U219" s="17">
        <f t="shared" si="9"/>
        <v>0</v>
      </c>
    </row>
    <row r="220" spans="1:21" x14ac:dyDescent="0.3">
      <c r="A220" s="13">
        <v>285</v>
      </c>
      <c r="B220" s="13" t="str">
        <f>+VLOOKUP(A220,'[1]PA 2023'!$A$8:$E$84,5)</f>
        <v>Mantener en funcionamiento el 100% de los salones comunales que hacen parte del programa Ágoras.</v>
      </c>
      <c r="C220" s="14">
        <v>2022680010029</v>
      </c>
      <c r="D220" s="14" t="str">
        <f>+VLOOKUP(C220,'[1]PA 2023'!$G$8:$H$84,2,FALSE)</f>
        <v>FORTALECIMIENTO DE LA PARTICIPACIÓN CIUDADANA EN EL MUNICIPIO DE BUCARAMANGA</v>
      </c>
      <c r="E220" s="13" t="s">
        <v>681</v>
      </c>
      <c r="F220" s="15">
        <v>1511</v>
      </c>
      <c r="G220" s="21" t="s">
        <v>35</v>
      </c>
      <c r="H220" s="21" t="s">
        <v>36</v>
      </c>
      <c r="I220" s="13" t="s">
        <v>779</v>
      </c>
      <c r="J220" s="13" t="s">
        <v>468</v>
      </c>
      <c r="K220" s="16">
        <v>44973</v>
      </c>
      <c r="L220" s="17">
        <v>6300000</v>
      </c>
      <c r="M220" s="17">
        <v>6300000</v>
      </c>
      <c r="N220" s="18">
        <f>2700000+1800000+1800000</f>
        <v>6300000</v>
      </c>
      <c r="O220" s="22" t="s">
        <v>780</v>
      </c>
      <c r="Q220" s="13">
        <v>2542</v>
      </c>
      <c r="R220" s="13" t="s">
        <v>134</v>
      </c>
      <c r="S220" s="13" t="s">
        <v>781</v>
      </c>
      <c r="T220" s="13" t="s">
        <v>16</v>
      </c>
      <c r="U220" s="17">
        <f t="shared" si="9"/>
        <v>0</v>
      </c>
    </row>
    <row r="221" spans="1:21" x14ac:dyDescent="0.3">
      <c r="A221" s="13">
        <v>94</v>
      </c>
      <c r="B221" s="13" t="str">
        <f>+VLOOKUP(A221,'[1]PA 2023'!$A$8:$E$84,5)</f>
        <v>Mantener el servicio atención primaria en salud, atención psicosocial que promueva la salud física, salud mental y el bienestar social de las personas mayores en los centros vida.</v>
      </c>
      <c r="C221" s="14">
        <v>2020680010040</v>
      </c>
      <c r="D221" s="14" t="str">
        <f>+VLOOKUP(C221,'[1]PA 2023'!$G$8:$H$84,2,FALSE)</f>
        <v>IMPLEMENTACIÓN DE ACCIONES TENDIENTES A MEJORAR LAS CONDICIONES DE LOS ADULTOS MAYORES DEL MUNICIPIO DE BUCARAMANGA</v>
      </c>
      <c r="E221" s="13" t="s">
        <v>641</v>
      </c>
      <c r="F221" s="15">
        <v>1481</v>
      </c>
      <c r="G221" s="21" t="s">
        <v>43</v>
      </c>
      <c r="H221" s="21" t="s">
        <v>36</v>
      </c>
      <c r="I221" s="13" t="s">
        <v>782</v>
      </c>
      <c r="J221" s="13" t="s">
        <v>574</v>
      </c>
      <c r="K221" s="16">
        <v>44973</v>
      </c>
      <c r="L221" s="17">
        <v>10500000</v>
      </c>
      <c r="M221" s="17">
        <v>10500000</v>
      </c>
      <c r="N221" s="18">
        <f>4500000+3000000+3000000</f>
        <v>10500000</v>
      </c>
      <c r="O221" s="22" t="s">
        <v>783</v>
      </c>
      <c r="Q221" s="13">
        <v>2543</v>
      </c>
      <c r="R221" s="13" t="s">
        <v>26</v>
      </c>
      <c r="S221" s="13" t="s">
        <v>784</v>
      </c>
      <c r="T221" s="13" t="s">
        <v>16</v>
      </c>
      <c r="U221" s="17">
        <f t="shared" si="9"/>
        <v>0</v>
      </c>
    </row>
    <row r="222" spans="1:21" x14ac:dyDescent="0.3">
      <c r="A222" s="13">
        <v>93</v>
      </c>
      <c r="B222" s="13" t="str">
        <f>+VLOOKUP(A222,'[1]PA 2023'!$A$8:$E$84,5)</f>
        <v>Mantener en funcionamiento los 3 Centros Vida con la prestacion de servicios integrales y/o dotacion de los mismos cumpliendo con la oferta institucional.</v>
      </c>
      <c r="C222" s="14">
        <v>2020680010040</v>
      </c>
      <c r="D222" s="14" t="str">
        <f>+VLOOKUP(C222,'[1]PA 2023'!$G$8:$H$84,2,FALSE)</f>
        <v>IMPLEMENTACIÓN DE ACCIONES TENDIENTES A MEJORAR LAS CONDICIONES DE LOS ADULTOS MAYORES DEL MUNICIPIO DE BUCARAMANGA</v>
      </c>
      <c r="E222" s="13" t="s">
        <v>655</v>
      </c>
      <c r="F222" s="15">
        <v>1508</v>
      </c>
      <c r="G222" s="21" t="s">
        <v>35</v>
      </c>
      <c r="H222" s="21" t="s">
        <v>36</v>
      </c>
      <c r="I222" s="13" t="s">
        <v>785</v>
      </c>
      <c r="J222" s="13" t="s">
        <v>574</v>
      </c>
      <c r="K222" s="16">
        <v>44973</v>
      </c>
      <c r="L222" s="17">
        <v>7000000</v>
      </c>
      <c r="M222" s="17">
        <v>7000000</v>
      </c>
      <c r="N222" s="18">
        <f>2933333.33+2000000+2000000</f>
        <v>6933333.3300000001</v>
      </c>
      <c r="O222" s="22" t="s">
        <v>786</v>
      </c>
      <c r="Q222" s="13">
        <v>2544</v>
      </c>
      <c r="R222" s="13" t="s">
        <v>26</v>
      </c>
      <c r="S222" s="13" t="s">
        <v>787</v>
      </c>
      <c r="T222" s="13" t="s">
        <v>16</v>
      </c>
      <c r="U222" s="17">
        <f>+M222-N222</f>
        <v>66666.669999999925</v>
      </c>
    </row>
    <row r="223" spans="1:21" x14ac:dyDescent="0.3">
      <c r="A223" s="13">
        <v>94</v>
      </c>
      <c r="B223" s="13" t="str">
        <f>+VLOOKUP(A223,'[1]PA 2023'!$A$8:$E$84,5)</f>
        <v>Mantener el servicio atención primaria en salud, atención psicosocial que promueva la salud física, salud mental y el bienestar social de las personas mayores en los centros vida.</v>
      </c>
      <c r="C223" s="14">
        <v>2020680010040</v>
      </c>
      <c r="D223" s="14" t="str">
        <f>+VLOOKUP(C223,'[1]PA 2023'!$G$8:$H$84,2,FALSE)</f>
        <v>IMPLEMENTACIÓN DE ACCIONES TENDIENTES A MEJORAR LAS CONDICIONES DE LOS ADULTOS MAYORES DEL MUNICIPIO DE BUCARAMANGA</v>
      </c>
      <c r="E223" s="13" t="s">
        <v>641</v>
      </c>
      <c r="F223" s="15">
        <v>1461</v>
      </c>
      <c r="G223" s="21" t="s">
        <v>43</v>
      </c>
      <c r="H223" s="21" t="s">
        <v>36</v>
      </c>
      <c r="I223" s="13" t="s">
        <v>788</v>
      </c>
      <c r="J223" s="13" t="s">
        <v>574</v>
      </c>
      <c r="K223" s="16">
        <v>44973</v>
      </c>
      <c r="L223" s="17">
        <v>10500000</v>
      </c>
      <c r="M223" s="17">
        <v>10500000</v>
      </c>
      <c r="N223" s="18">
        <f>4500000+3000000+3000000</f>
        <v>10500000</v>
      </c>
      <c r="O223" s="22" t="s">
        <v>789</v>
      </c>
      <c r="Q223" s="13">
        <v>2545</v>
      </c>
      <c r="R223" s="13" t="s">
        <v>26</v>
      </c>
      <c r="S223" s="13" t="s">
        <v>790</v>
      </c>
      <c r="T223" s="13" t="s">
        <v>16</v>
      </c>
      <c r="U223" s="17">
        <f t="shared" si="9"/>
        <v>0</v>
      </c>
    </row>
    <row r="224" spans="1:21" x14ac:dyDescent="0.3">
      <c r="A224" s="13">
        <v>206</v>
      </c>
      <c r="B224" s="13" t="str">
        <f>+VLOOKUP(A224,'[1]PA 2023'!$A$8:$E$84,5)</f>
        <v>Mantener el Plan General de Asistencia Técnica.</v>
      </c>
      <c r="C224" s="14">
        <v>2020680010123</v>
      </c>
      <c r="D224" s="14" t="str">
        <f>+VLOOKUP(C224,'[1]PA 2023'!$G$8:$H$84,2,FALSE)</f>
        <v>FORTALECIMIENTO DE LA PRODUCTIVIDAD Y COMPETITIVIDAD AGROPECUARIA EN EL SECTOR RURAL DEL MUNICIPIO DE BUCARAMANGA</v>
      </c>
      <c r="E224" s="13" t="s">
        <v>791</v>
      </c>
      <c r="F224" s="15">
        <v>1473</v>
      </c>
      <c r="G224" s="21" t="s">
        <v>43</v>
      </c>
      <c r="H224" s="21" t="s">
        <v>36</v>
      </c>
      <c r="I224" s="13" t="s">
        <v>792</v>
      </c>
      <c r="J224" s="13" t="s">
        <v>665</v>
      </c>
      <c r="K224" s="16">
        <v>44973</v>
      </c>
      <c r="L224" s="17">
        <v>12250000</v>
      </c>
      <c r="M224" s="17">
        <v>12250000</v>
      </c>
      <c r="N224" s="18">
        <f>1750000+3500000+3500000+3500000</f>
        <v>12250000</v>
      </c>
      <c r="O224" s="22" t="s">
        <v>793</v>
      </c>
      <c r="Q224" s="13">
        <v>2573</v>
      </c>
      <c r="R224" s="13" t="s">
        <v>667</v>
      </c>
      <c r="S224" s="13" t="s">
        <v>794</v>
      </c>
      <c r="T224" s="13" t="s">
        <v>16</v>
      </c>
      <c r="U224" s="17">
        <f t="shared" si="9"/>
        <v>0</v>
      </c>
    </row>
    <row r="225" spans="1:21" x14ac:dyDescent="0.3">
      <c r="A225" s="13">
        <v>98</v>
      </c>
      <c r="B225" s="13" t="str">
        <f>+VLOOKUP(A225,'[1]PA 2023'!$A$8:$E$84,5)</f>
        <v>Mantener el 100% del apoyo logístico a las familias beneficiadas del programa Familias en Acción.</v>
      </c>
      <c r="C225" s="14">
        <v>2020680010072</v>
      </c>
      <c r="D225" s="14" t="str">
        <f>+VLOOKUP(C225,'[1]PA 2023'!$G$8:$H$84,2,FALSE)</f>
        <v>APOYO A LA OPERATIVIDAD DEL PROGRAMA NACIONAL MÁS FAMILIAS EN ACCIÓN EN EL MUNICIPIO DE BUCARAMANGA</v>
      </c>
      <c r="E225" s="13" t="s">
        <v>723</v>
      </c>
      <c r="F225" s="15">
        <v>1442</v>
      </c>
      <c r="G225" s="22" t="s">
        <v>35</v>
      </c>
      <c r="H225" s="21" t="s">
        <v>36</v>
      </c>
      <c r="I225" s="13" t="s">
        <v>795</v>
      </c>
      <c r="J225" s="13" t="s">
        <v>472</v>
      </c>
      <c r="K225" s="16">
        <v>44973</v>
      </c>
      <c r="L225" s="17">
        <v>7000000</v>
      </c>
      <c r="M225" s="17">
        <v>7000000</v>
      </c>
      <c r="N225" s="18">
        <f>3000000+2000000+2000000</f>
        <v>7000000</v>
      </c>
      <c r="O225" s="22" t="s">
        <v>796</v>
      </c>
      <c r="Q225" s="13">
        <v>2574</v>
      </c>
      <c r="R225" s="13" t="s">
        <v>473</v>
      </c>
      <c r="S225" s="13" t="s">
        <v>797</v>
      </c>
      <c r="T225" s="13" t="s">
        <v>16</v>
      </c>
      <c r="U225" s="17">
        <f t="shared" si="9"/>
        <v>0</v>
      </c>
    </row>
    <row r="226" spans="1:21" x14ac:dyDescent="0.3">
      <c r="A226" s="13">
        <v>93</v>
      </c>
      <c r="B226" s="13" t="str">
        <f>+VLOOKUP(A226,'[1]PA 2023'!$A$8:$E$84,5)</f>
        <v>Mantener en funcionamiento los 3 Centros Vida con la prestacion de servicios integrales y/o dotacion de los mismos cumpliendo con la oferta institucional.</v>
      </c>
      <c r="C226" s="14">
        <v>2020680010040</v>
      </c>
      <c r="D226" s="14" t="str">
        <f>+VLOOKUP(C226,'[1]PA 2023'!$G$8:$H$84,2,FALSE)</f>
        <v>IMPLEMENTACIÓN DE ACCIONES TENDIENTES A MEJORAR LAS CONDICIONES DE LOS ADULTOS MAYORES DEL MUNICIPIO DE BUCARAMANGA</v>
      </c>
      <c r="E226" s="13" t="s">
        <v>737</v>
      </c>
      <c r="F226" s="15">
        <v>1500</v>
      </c>
      <c r="G226" s="21" t="s">
        <v>43</v>
      </c>
      <c r="H226" s="21" t="s">
        <v>36</v>
      </c>
      <c r="I226" s="13" t="s">
        <v>798</v>
      </c>
      <c r="J226" s="13" t="s">
        <v>574</v>
      </c>
      <c r="K226" s="16">
        <v>44973</v>
      </c>
      <c r="L226" s="17">
        <v>10500000</v>
      </c>
      <c r="M226" s="17">
        <v>10500000</v>
      </c>
      <c r="N226" s="18">
        <f>4500000+3000000+3000000</f>
        <v>10500000</v>
      </c>
      <c r="O226" s="22" t="s">
        <v>799</v>
      </c>
      <c r="Q226" s="13">
        <v>2575</v>
      </c>
      <c r="R226" s="13" t="s">
        <v>26</v>
      </c>
      <c r="S226" s="13" t="s">
        <v>800</v>
      </c>
      <c r="T226" s="13" t="s">
        <v>16</v>
      </c>
      <c r="U226" s="17">
        <f t="shared" si="9"/>
        <v>0</v>
      </c>
    </row>
    <row r="227" spans="1:21" x14ac:dyDescent="0.3">
      <c r="A227" s="13">
        <v>101</v>
      </c>
      <c r="B227" s="13" t="str">
        <f>+VLOOKUP(A227,'[1]PA 2023'!$A$8:$E$84,5)</f>
        <v>Atender y mantener de manera integral desde el componente psicosociojurídico y social a 600 mujeres, niñas y personas considerando los enfoques diferenciales y diversidad sexual.</v>
      </c>
      <c r="C227" s="14">
        <v>2020680010106</v>
      </c>
      <c r="D227" s="14" t="str">
        <f>+VLOOKUP(C227,'[1]PA 2023'!$G$8:$H$84,2,FALSE)</f>
        <v>FORTALECIMIENTO DE ESPACIOS DE PARTICIPACIÓN Y PREVENCIÓN DE VIOLENCIAS EN MUJERES Y POBLACIÓN CON ORIENTACIONES SEXUALES E IDENTIDADES DE GÉNERO DIVERSAS DEL MUNICIPIO DE BUCARAMANGA</v>
      </c>
      <c r="E227" s="13" t="s">
        <v>801</v>
      </c>
      <c r="F227" s="15">
        <v>1438</v>
      </c>
      <c r="G227" s="21" t="s">
        <v>43</v>
      </c>
      <c r="H227" s="21" t="s">
        <v>36</v>
      </c>
      <c r="I227" s="13" t="s">
        <v>802</v>
      </c>
      <c r="J227" s="13" t="s">
        <v>378</v>
      </c>
      <c r="K227" s="16">
        <v>44973</v>
      </c>
      <c r="L227" s="17">
        <v>10500000</v>
      </c>
      <c r="M227" s="17">
        <v>10500000</v>
      </c>
      <c r="N227" s="18">
        <f>4400000+3000000+3000000</f>
        <v>10400000</v>
      </c>
      <c r="O227" s="22" t="s">
        <v>803</v>
      </c>
      <c r="Q227" s="13">
        <v>2576</v>
      </c>
      <c r="R227" s="13" t="s">
        <v>380</v>
      </c>
      <c r="S227" s="13" t="s">
        <v>804</v>
      </c>
      <c r="T227" s="13" t="s">
        <v>16</v>
      </c>
      <c r="U227" s="17">
        <f>+M227-N227</f>
        <v>100000</v>
      </c>
    </row>
    <row r="228" spans="1:21" x14ac:dyDescent="0.3">
      <c r="A228" s="13">
        <v>111</v>
      </c>
      <c r="B228" s="13" t="str">
        <f>+VLOOKUP(A228,'[1]PA 2023'!$A$8:$E$84,5)</f>
        <v xml:space="preserve">Mantener la identificación, caracterización y seguimiento de la situación de cada habitante de calle atendido por la Secretaría de Desarrollo Social. </v>
      </c>
      <c r="C228" s="14">
        <v>2020680010050</v>
      </c>
      <c r="D228" s="14" t="str">
        <f>+VLOOKUP(C228,'[1]PA 2023'!$G$8:$H$84,2,FALSE)</f>
        <v>DESARROLLO DE ACCIONES ENCAMINADAS A GENERAR ATENCIÓN INTEGRAL HACIA LA POBLACIÓN HABITANTES EN SITUACIÓN DE CALLE DEL MUNICIPIO DE BUCARAMANGA</v>
      </c>
      <c r="E228" s="13" t="s">
        <v>805</v>
      </c>
      <c r="F228" s="15">
        <v>1459</v>
      </c>
      <c r="G228" s="21" t="s">
        <v>35</v>
      </c>
      <c r="H228" s="21" t="s">
        <v>36</v>
      </c>
      <c r="I228" s="13" t="s">
        <v>806</v>
      </c>
      <c r="J228" s="13" t="s">
        <v>768</v>
      </c>
      <c r="K228" s="16">
        <v>44973</v>
      </c>
      <c r="L228" s="17">
        <v>6300000</v>
      </c>
      <c r="M228" s="17">
        <v>6300000</v>
      </c>
      <c r="N228" s="18">
        <f>2700000+1800000+1800000</f>
        <v>6300000</v>
      </c>
      <c r="O228" s="22" t="s">
        <v>807</v>
      </c>
      <c r="Q228" s="13">
        <v>2595</v>
      </c>
      <c r="R228" s="13" t="s">
        <v>770</v>
      </c>
      <c r="S228" s="13" t="s">
        <v>808</v>
      </c>
      <c r="T228" s="13" t="s">
        <v>16</v>
      </c>
      <c r="U228" s="17">
        <f t="shared" si="9"/>
        <v>0</v>
      </c>
    </row>
    <row r="229" spans="1:21" x14ac:dyDescent="0.3">
      <c r="A229" s="13">
        <v>285</v>
      </c>
      <c r="B229" s="13" t="str">
        <f>+VLOOKUP(A229,'[1]PA 2023'!$A$8:$E$84,5)</f>
        <v>Mantener en funcionamiento el 100% de los salones comunales que hacen parte del programa Ágoras.</v>
      </c>
      <c r="C229" s="14">
        <v>2022680010029</v>
      </c>
      <c r="D229" s="14" t="str">
        <f>+VLOOKUP(C229,'[1]PA 2023'!$G$8:$H$84,2,FALSE)</f>
        <v>FORTALECIMIENTO DE LA PARTICIPACIÓN CIUDADANA EN EL MUNICIPIO DE BUCARAMANGA</v>
      </c>
      <c r="E229" s="13" t="s">
        <v>809</v>
      </c>
      <c r="F229" s="15">
        <v>1517</v>
      </c>
      <c r="G229" s="21" t="s">
        <v>35</v>
      </c>
      <c r="H229" s="21" t="s">
        <v>36</v>
      </c>
      <c r="I229" s="13" t="s">
        <v>810</v>
      </c>
      <c r="J229" s="13" t="s">
        <v>468</v>
      </c>
      <c r="K229" s="16">
        <v>44974</v>
      </c>
      <c r="L229" s="17">
        <v>6000000</v>
      </c>
      <c r="M229" s="17">
        <v>6000000</v>
      </c>
      <c r="N229" s="18">
        <f>2640000+1800000+1560000</f>
        <v>6000000</v>
      </c>
      <c r="O229" s="22" t="s">
        <v>811</v>
      </c>
      <c r="Q229" s="13">
        <v>2613</v>
      </c>
      <c r="R229" s="13" t="s">
        <v>134</v>
      </c>
      <c r="S229" s="13" t="s">
        <v>812</v>
      </c>
      <c r="T229" s="13" t="s">
        <v>16</v>
      </c>
      <c r="U229" s="17">
        <f t="shared" si="9"/>
        <v>0</v>
      </c>
    </row>
    <row r="230" spans="1:21" x14ac:dyDescent="0.3">
      <c r="A230" s="13">
        <v>285</v>
      </c>
      <c r="B230" s="13" t="str">
        <f>+VLOOKUP(A230,'[1]PA 2023'!$A$8:$E$84,5)</f>
        <v>Mantener en funcionamiento el 100% de los salones comunales que hacen parte del programa Ágoras.</v>
      </c>
      <c r="C230" s="14">
        <v>2022680010029</v>
      </c>
      <c r="D230" s="14" t="str">
        <f>+VLOOKUP(C230,'[1]PA 2023'!$G$8:$H$84,2,FALSE)</f>
        <v>FORTALECIMIENTO DE LA PARTICIPACIÓN CIUDADANA EN EL MUNICIPIO DE BUCARAMANGA</v>
      </c>
      <c r="E230" s="13" t="s">
        <v>637</v>
      </c>
      <c r="F230" s="15">
        <v>1525</v>
      </c>
      <c r="G230" s="21" t="s">
        <v>35</v>
      </c>
      <c r="H230" s="21" t="s">
        <v>36</v>
      </c>
      <c r="I230" s="13" t="s">
        <v>813</v>
      </c>
      <c r="J230" s="13" t="s">
        <v>468</v>
      </c>
      <c r="K230" s="16">
        <v>44974</v>
      </c>
      <c r="L230" s="17">
        <v>6000000</v>
      </c>
      <c r="M230" s="17">
        <v>6000000</v>
      </c>
      <c r="N230" s="18">
        <f>2640000+1800000+1560000</f>
        <v>6000000</v>
      </c>
      <c r="O230" s="22" t="s">
        <v>814</v>
      </c>
      <c r="Q230" s="13">
        <v>2614</v>
      </c>
      <c r="R230" s="13" t="s">
        <v>134</v>
      </c>
      <c r="S230" s="13" t="s">
        <v>815</v>
      </c>
      <c r="T230" s="13" t="s">
        <v>16</v>
      </c>
      <c r="U230" s="17">
        <f t="shared" si="9"/>
        <v>0</v>
      </c>
    </row>
    <row r="231" spans="1:21" x14ac:dyDescent="0.3">
      <c r="A231" s="13">
        <v>111</v>
      </c>
      <c r="B231" s="13" t="str">
        <f>+VLOOKUP(A231,'[1]PA 2023'!$A$8:$E$84,5)</f>
        <v xml:space="preserve">Mantener la identificación, caracterización y seguimiento de la situación de cada habitante de calle atendido por la Secretaría de Desarrollo Social. </v>
      </c>
      <c r="C231" s="14">
        <v>2020680010050</v>
      </c>
      <c r="D231" s="14" t="str">
        <f>+VLOOKUP(C231,'[1]PA 2023'!$G$8:$H$84,2,FALSE)</f>
        <v>DESARROLLO DE ACCIONES ENCAMINADAS A GENERAR ATENCIÓN INTEGRAL HACIA LA POBLACIÓN HABITANTES EN SITUACIÓN DE CALLE DEL MUNICIPIO DE BUCARAMANGA</v>
      </c>
      <c r="E231" s="13" t="s">
        <v>816</v>
      </c>
      <c r="F231" s="15">
        <v>1521</v>
      </c>
      <c r="G231" s="21" t="s">
        <v>43</v>
      </c>
      <c r="H231" s="21" t="s">
        <v>36</v>
      </c>
      <c r="I231" s="13" t="s">
        <v>817</v>
      </c>
      <c r="J231" s="13" t="s">
        <v>768</v>
      </c>
      <c r="K231" s="16">
        <v>44974</v>
      </c>
      <c r="L231" s="17">
        <v>11000000</v>
      </c>
      <c r="M231" s="17">
        <v>11000000</v>
      </c>
      <c r="N231" s="18">
        <f>3300000+1540000+3300000+2860000</f>
        <v>11000000</v>
      </c>
      <c r="O231" s="22" t="s">
        <v>818</v>
      </c>
      <c r="Q231" s="13">
        <v>2615</v>
      </c>
      <c r="R231" s="13" t="s">
        <v>770</v>
      </c>
      <c r="S231" s="13" t="s">
        <v>819</v>
      </c>
      <c r="T231" s="13" t="s">
        <v>16</v>
      </c>
      <c r="U231" s="17">
        <f t="shared" si="9"/>
        <v>0</v>
      </c>
    </row>
    <row r="232" spans="1:21" x14ac:dyDescent="0.3">
      <c r="A232" s="13">
        <v>205</v>
      </c>
      <c r="B232" s="13" t="str">
        <f>+VLOOKUP(A232,'[1]PA 2023'!$A$8:$E$84,5)</f>
        <v>Mantener 4 mercadillos campesinos.</v>
      </c>
      <c r="C232" s="14">
        <v>2020680010123</v>
      </c>
      <c r="D232" s="14" t="str">
        <f>+VLOOKUP(C232,'[1]PA 2023'!$G$8:$H$84,2,FALSE)</f>
        <v>FORTALECIMIENTO DE LA PRODUCTIVIDAD Y COMPETITIVIDAD AGROPECUARIA EN EL SECTOR RURAL DEL MUNICIPIO DE BUCARAMANGA</v>
      </c>
      <c r="E232" s="13" t="s">
        <v>820</v>
      </c>
      <c r="F232" s="15">
        <v>1524</v>
      </c>
      <c r="G232" s="22" t="s">
        <v>35</v>
      </c>
      <c r="H232" s="21" t="s">
        <v>36</v>
      </c>
      <c r="I232" s="13" t="s">
        <v>821</v>
      </c>
      <c r="J232" s="13" t="s">
        <v>665</v>
      </c>
      <c r="K232" s="16">
        <v>44974</v>
      </c>
      <c r="L232" s="17">
        <v>7333333.3300000001</v>
      </c>
      <c r="M232" s="17">
        <v>7333333.3300000001</v>
      </c>
      <c r="N232" s="18">
        <f>3226666.67+2200000+1906666.66</f>
        <v>7333333.3300000001</v>
      </c>
      <c r="O232" s="22" t="s">
        <v>822</v>
      </c>
      <c r="Q232" s="13">
        <v>2616</v>
      </c>
      <c r="R232" s="13" t="s">
        <v>667</v>
      </c>
      <c r="S232" s="13" t="s">
        <v>823</v>
      </c>
      <c r="T232" s="13" t="s">
        <v>16</v>
      </c>
      <c r="U232" s="17">
        <f t="shared" si="9"/>
        <v>0</v>
      </c>
    </row>
    <row r="233" spans="1:21" x14ac:dyDescent="0.3">
      <c r="A233" s="13">
        <v>206</v>
      </c>
      <c r="B233" s="13" t="str">
        <f>+VLOOKUP(A233,'[1]PA 2023'!$A$8:$E$84,5)</f>
        <v>Mantener el Plan General de Asistencia Técnica.</v>
      </c>
      <c r="C233" s="14">
        <v>2020680010123</v>
      </c>
      <c r="D233" s="14" t="str">
        <f>+VLOOKUP(C233,'[1]PA 2023'!$G$8:$H$84,2,FALSE)</f>
        <v>FORTALECIMIENTO DE LA PRODUCTIVIDAD Y COMPETITIVIDAD AGROPECUARIA EN EL SECTOR RURAL DEL MUNICIPIO DE BUCARAMANGA</v>
      </c>
      <c r="E233" s="13" t="s">
        <v>824</v>
      </c>
      <c r="F233" s="15">
        <v>1515</v>
      </c>
      <c r="G233" s="21" t="s">
        <v>43</v>
      </c>
      <c r="H233" s="21" t="s">
        <v>36</v>
      </c>
      <c r="I233" s="13" t="s">
        <v>825</v>
      </c>
      <c r="J233" s="13" t="s">
        <v>665</v>
      </c>
      <c r="K233" s="16">
        <v>44974</v>
      </c>
      <c r="L233" s="17">
        <v>10500000</v>
      </c>
      <c r="M233" s="17">
        <v>10500000</v>
      </c>
      <c r="N233" s="18">
        <f>4400000+3000000+3000000</f>
        <v>10400000</v>
      </c>
      <c r="O233" s="22" t="s">
        <v>826</v>
      </c>
      <c r="Q233" s="13">
        <v>2617</v>
      </c>
      <c r="R233" s="13" t="s">
        <v>667</v>
      </c>
      <c r="S233" s="13" t="s">
        <v>827</v>
      </c>
      <c r="T233" s="13" t="s">
        <v>16</v>
      </c>
      <c r="U233" s="17">
        <f t="shared" si="9"/>
        <v>100000</v>
      </c>
    </row>
    <row r="234" spans="1:21" x14ac:dyDescent="0.3">
      <c r="A234" s="13">
        <v>93</v>
      </c>
      <c r="B234" s="13" t="str">
        <f>+VLOOKUP(A234,'[1]PA 2023'!$A$8:$E$84,5)</f>
        <v>Mantener en funcionamiento los 3 Centros Vida con la prestacion de servicios integrales y/o dotacion de los mismos cumpliendo con la oferta institucional.</v>
      </c>
      <c r="C234" s="14">
        <v>2020680010040</v>
      </c>
      <c r="D234" s="14" t="str">
        <f>+VLOOKUP(C234,'[1]PA 2023'!$G$8:$H$84,2,FALSE)</f>
        <v>IMPLEMENTACIÓN DE ACCIONES TENDIENTES A MEJORAR LAS CONDICIONES DE LOS ADULTOS MAYORES DEL MUNICIPIO DE BUCARAMANGA</v>
      </c>
      <c r="E234" s="13" t="s">
        <v>828</v>
      </c>
      <c r="F234" s="15">
        <v>1514</v>
      </c>
      <c r="G234" s="21" t="s">
        <v>35</v>
      </c>
      <c r="H234" s="21" t="s">
        <v>36</v>
      </c>
      <c r="I234" s="13" t="s">
        <v>829</v>
      </c>
      <c r="J234" s="13" t="s">
        <v>574</v>
      </c>
      <c r="K234" s="16">
        <v>44974</v>
      </c>
      <c r="L234" s="17">
        <v>8750000</v>
      </c>
      <c r="M234" s="17">
        <v>8750000</v>
      </c>
      <c r="N234" s="18">
        <f>3666666.67+2500000+2500000</f>
        <v>8666666.6699999999</v>
      </c>
      <c r="O234" s="22" t="s">
        <v>830</v>
      </c>
      <c r="Q234" s="13">
        <v>2618</v>
      </c>
      <c r="R234" s="13" t="s">
        <v>26</v>
      </c>
      <c r="S234" s="13" t="s">
        <v>831</v>
      </c>
      <c r="T234" s="13" t="s">
        <v>16</v>
      </c>
      <c r="U234" s="17">
        <f t="shared" si="9"/>
        <v>83333.330000000075</v>
      </c>
    </row>
    <row r="235" spans="1:21" x14ac:dyDescent="0.3">
      <c r="A235" s="13">
        <v>285</v>
      </c>
      <c r="B235" s="13" t="str">
        <f>+VLOOKUP(A235,'[1]PA 2023'!$A$8:$E$84,5)</f>
        <v>Mantener en funcionamiento el 100% de los salones comunales que hacen parte del programa Ágoras.</v>
      </c>
      <c r="C235" s="14">
        <v>2022680010029</v>
      </c>
      <c r="D235" s="14" t="str">
        <f>+VLOOKUP(C235,'[1]PA 2023'!$G$8:$H$84,2,FALSE)</f>
        <v>FORTALECIMIENTO DE LA PARTICIPACIÓN CIUDADANA EN EL MUNICIPIO DE BUCARAMANGA</v>
      </c>
      <c r="E235" s="13" t="s">
        <v>681</v>
      </c>
      <c r="F235" s="15">
        <v>1536</v>
      </c>
      <c r="G235" s="21" t="s">
        <v>35</v>
      </c>
      <c r="H235" s="21" t="s">
        <v>36</v>
      </c>
      <c r="I235" s="13" t="s">
        <v>832</v>
      </c>
      <c r="J235" s="13" t="s">
        <v>468</v>
      </c>
      <c r="K235" s="16">
        <v>44974</v>
      </c>
      <c r="L235" s="17">
        <v>6000000</v>
      </c>
      <c r="M235" s="17">
        <v>6000000</v>
      </c>
      <c r="N235" s="18">
        <f>2640000+1800000+1560000</f>
        <v>6000000</v>
      </c>
      <c r="O235" s="22" t="s">
        <v>833</v>
      </c>
      <c r="Q235" s="13">
        <v>2633</v>
      </c>
      <c r="R235" s="13" t="s">
        <v>134</v>
      </c>
      <c r="S235" s="13" t="s">
        <v>834</v>
      </c>
      <c r="T235" s="13" t="s">
        <v>16</v>
      </c>
      <c r="U235" s="17">
        <f t="shared" si="9"/>
        <v>0</v>
      </c>
    </row>
    <row r="236" spans="1:21" x14ac:dyDescent="0.3">
      <c r="A236" s="13">
        <v>95</v>
      </c>
      <c r="B236" s="13" t="str">
        <f>+VLOOKUP(A236,'[1]PA 2023'!$A$8:$E$84,5)</f>
        <v>Formular e implementar 1 estrategia que promueva  las actividades psicosociales, actividades artísticas y culturales,   actividades físicas y recreación y actividades productivas en las personas mayores.</v>
      </c>
      <c r="C236" s="14">
        <v>2020680010040</v>
      </c>
      <c r="D236" s="14" t="str">
        <f>+VLOOKUP(C236,'[1]PA 2023'!$G$8:$H$84,2,FALSE)</f>
        <v>IMPLEMENTACIÓN DE ACCIONES TENDIENTES A MEJORAR LAS CONDICIONES DE LOS ADULTOS MAYORES DEL MUNICIPIO DE BUCARAMANGA</v>
      </c>
      <c r="E236" s="13" t="s">
        <v>835</v>
      </c>
      <c r="F236" s="15">
        <v>1527</v>
      </c>
      <c r="G236" s="21" t="s">
        <v>43</v>
      </c>
      <c r="H236" s="21" t="s">
        <v>36</v>
      </c>
      <c r="I236" s="13" t="s">
        <v>836</v>
      </c>
      <c r="J236" s="13" t="s">
        <v>574</v>
      </c>
      <c r="K236" s="16">
        <v>44974</v>
      </c>
      <c r="L236" s="17">
        <v>10000000</v>
      </c>
      <c r="M236" s="17">
        <v>10000000</v>
      </c>
      <c r="N236" s="18">
        <f>4400000+3000000+2600000</f>
        <v>10000000</v>
      </c>
      <c r="O236" s="22" t="s">
        <v>837</v>
      </c>
      <c r="Q236" s="13">
        <v>2634</v>
      </c>
      <c r="R236" s="13" t="s">
        <v>26</v>
      </c>
      <c r="S236" s="13" t="s">
        <v>838</v>
      </c>
      <c r="T236" s="13" t="s">
        <v>16</v>
      </c>
      <c r="U236" s="17">
        <f t="shared" si="9"/>
        <v>0</v>
      </c>
    </row>
    <row r="237" spans="1:21" x14ac:dyDescent="0.3">
      <c r="A237" s="13">
        <v>206</v>
      </c>
      <c r="B237" s="13" t="str">
        <f>+VLOOKUP(A237,'[1]PA 2023'!$A$8:$E$84,5)</f>
        <v>Mantener el Plan General de Asistencia Técnica.</v>
      </c>
      <c r="C237" s="14">
        <v>2020680010123</v>
      </c>
      <c r="D237" s="14" t="str">
        <f>+VLOOKUP(C237,'[1]PA 2023'!$G$8:$H$84,2,FALSE)</f>
        <v>FORTALECIMIENTO DE LA PRODUCTIVIDAD Y COMPETITIVIDAD AGROPECUARIA EN EL SECTOR RURAL DEL MUNICIPIO DE BUCARAMANGA</v>
      </c>
      <c r="E237" s="13" t="s">
        <v>839</v>
      </c>
      <c r="F237" s="15">
        <v>1529</v>
      </c>
      <c r="G237" s="22" t="s">
        <v>35</v>
      </c>
      <c r="H237" s="21" t="s">
        <v>36</v>
      </c>
      <c r="I237" s="13" t="s">
        <v>840</v>
      </c>
      <c r="J237" s="13" t="s">
        <v>665</v>
      </c>
      <c r="K237" s="16">
        <v>44974</v>
      </c>
      <c r="L237" s="17">
        <v>8333333.3300000001</v>
      </c>
      <c r="M237" s="17">
        <v>8333333.3300000001</v>
      </c>
      <c r="N237" s="18">
        <f>3666666.67+2500000+2166666.66</f>
        <v>8333333.3300000001</v>
      </c>
      <c r="O237" s="22" t="s">
        <v>841</v>
      </c>
      <c r="Q237" s="13">
        <v>2635</v>
      </c>
      <c r="R237" s="13" t="s">
        <v>667</v>
      </c>
      <c r="S237" s="13" t="s">
        <v>842</v>
      </c>
      <c r="T237" s="13" t="s">
        <v>16</v>
      </c>
      <c r="U237" s="17">
        <f t="shared" si="9"/>
        <v>0</v>
      </c>
    </row>
    <row r="238" spans="1:21" x14ac:dyDescent="0.3">
      <c r="A238" s="13">
        <v>113</v>
      </c>
      <c r="B238" s="13" t="str">
        <f>+VLOOKUP(A238,'[1]PA 2023'!$A$8:$E$84,5)</f>
        <v>Formular e implementar 1 política pública para habitante de calle.</v>
      </c>
      <c r="C238" s="14">
        <v>2020680010050</v>
      </c>
      <c r="D238" s="14" t="str">
        <f>+VLOOKUP(C238,'[1]PA 2023'!$G$8:$H$84,2,FALSE)</f>
        <v>DESARROLLO DE ACCIONES ENCAMINADAS A GENERAR ATENCIÓN INTEGRAL HACIA LA POBLACIÓN HABITANTES EN SITUACIÓN DE CALLE DEL MUNICIPIO DE BUCARAMANGA</v>
      </c>
      <c r="E238" s="13" t="s">
        <v>843</v>
      </c>
      <c r="F238" s="15">
        <v>1533</v>
      </c>
      <c r="G238" s="21" t="s">
        <v>43</v>
      </c>
      <c r="H238" s="21" t="s">
        <v>36</v>
      </c>
      <c r="I238" s="13" t="s">
        <v>844</v>
      </c>
      <c r="J238" s="13" t="s">
        <v>768</v>
      </c>
      <c r="K238" s="16">
        <v>44974</v>
      </c>
      <c r="L238" s="17">
        <v>11666666.67</v>
      </c>
      <c r="M238" s="17">
        <v>11666666.67</v>
      </c>
      <c r="N238" s="18">
        <f>5133333.33+3500000+3033333.34</f>
        <v>11666666.67</v>
      </c>
      <c r="O238" s="22" t="s">
        <v>845</v>
      </c>
      <c r="Q238" s="13">
        <v>2636</v>
      </c>
      <c r="R238" s="13" t="s">
        <v>770</v>
      </c>
      <c r="S238" s="13" t="s">
        <v>846</v>
      </c>
      <c r="T238" s="13" t="s">
        <v>16</v>
      </c>
      <c r="U238" s="17">
        <f t="shared" si="9"/>
        <v>0</v>
      </c>
    </row>
    <row r="239" spans="1:21" x14ac:dyDescent="0.3">
      <c r="A239" s="13">
        <v>93</v>
      </c>
      <c r="B239" s="13" t="str">
        <f>+VLOOKUP(A239,'[1]PA 2023'!$A$8:$E$84,5)</f>
        <v>Mantener en funcionamiento los 3 Centros Vida con la prestacion de servicios integrales y/o dotacion de los mismos cumpliendo con la oferta institucional.</v>
      </c>
      <c r="C239" s="14">
        <v>2020680010040</v>
      </c>
      <c r="D239" s="14" t="str">
        <f>+VLOOKUP(C239,'[1]PA 2023'!$G$8:$H$84,2,FALSE)</f>
        <v>IMPLEMENTACIÓN DE ACCIONES TENDIENTES A MEJORAR LAS CONDICIONES DE LOS ADULTOS MAYORES DEL MUNICIPIO DE BUCARAMANGA</v>
      </c>
      <c r="E239" s="13" t="s">
        <v>641</v>
      </c>
      <c r="F239" s="15">
        <v>1535</v>
      </c>
      <c r="G239" s="21" t="s">
        <v>43</v>
      </c>
      <c r="H239" s="21" t="s">
        <v>36</v>
      </c>
      <c r="I239" s="13" t="s">
        <v>847</v>
      </c>
      <c r="J239" s="13" t="s">
        <v>574</v>
      </c>
      <c r="K239" s="16">
        <v>44974</v>
      </c>
      <c r="L239" s="17">
        <v>8750000</v>
      </c>
      <c r="M239" s="17">
        <v>8750000</v>
      </c>
      <c r="N239" s="18">
        <f>3666666.67+2500000+2500000</f>
        <v>8666666.6699999999</v>
      </c>
      <c r="O239" s="22" t="s">
        <v>848</v>
      </c>
      <c r="Q239" s="13">
        <v>2639</v>
      </c>
      <c r="R239" s="13" t="s">
        <v>26</v>
      </c>
      <c r="S239" s="13" t="s">
        <v>849</v>
      </c>
      <c r="T239" s="13" t="s">
        <v>16</v>
      </c>
      <c r="U239" s="17">
        <f t="shared" si="9"/>
        <v>83333.330000000075</v>
      </c>
    </row>
    <row r="240" spans="1:21" x14ac:dyDescent="0.3">
      <c r="A240" s="13">
        <v>283</v>
      </c>
      <c r="B240" s="13" t="str">
        <f>+VLOOKUP(A240,'[1]PA 2023'!$A$8:$E$84,5)</f>
        <v>Formular e implementar 1 estrategia que fortalezca la democracia participativa (Ley 1757 de 2015).</v>
      </c>
      <c r="C240" s="14">
        <v>2022680010029</v>
      </c>
      <c r="D240" s="14" t="str">
        <f>+VLOOKUP(C240,'[1]PA 2023'!$G$8:$H$84,2,FALSE)</f>
        <v>FORTALECIMIENTO DE LA PARTICIPACIÓN CIUDADANA EN EL MUNICIPIO DE BUCARAMANGA</v>
      </c>
      <c r="E240" s="13" t="s">
        <v>850</v>
      </c>
      <c r="F240" s="15">
        <v>1539</v>
      </c>
      <c r="G240" s="21" t="s">
        <v>43</v>
      </c>
      <c r="H240" s="21" t="s">
        <v>36</v>
      </c>
      <c r="I240" s="13" t="s">
        <v>851</v>
      </c>
      <c r="J240" s="13" t="s">
        <v>468</v>
      </c>
      <c r="K240" s="16">
        <v>44974</v>
      </c>
      <c r="L240" s="17">
        <v>10000000</v>
      </c>
      <c r="M240" s="17">
        <v>10000000</v>
      </c>
      <c r="N240" s="18">
        <f>4300000+3000000+2700000</f>
        <v>10000000</v>
      </c>
      <c r="O240" s="22" t="s">
        <v>852</v>
      </c>
      <c r="Q240" s="13">
        <v>2640</v>
      </c>
      <c r="R240" s="13" t="s">
        <v>134</v>
      </c>
      <c r="S240" s="13" t="s">
        <v>853</v>
      </c>
      <c r="T240" s="13" t="s">
        <v>16</v>
      </c>
      <c r="U240" s="17">
        <f t="shared" si="9"/>
        <v>0</v>
      </c>
    </row>
    <row r="241" spans="1:21" x14ac:dyDescent="0.3">
      <c r="A241" s="13">
        <v>68</v>
      </c>
      <c r="B241" s="13" t="str">
        <f>+VLOOKUP(A241,'[1]PA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241" s="14">
        <v>2021680010003</v>
      </c>
      <c r="D241" s="14" t="str">
        <f>+VLOOKUP(C241,'[1]PA 2023'!$G$8:$H$84,2,FALSE)</f>
        <v>IMPLEMENTACIÓN DE ESTRATEGIAS PSICOPEDAGÓGICAS PARA LA DISMINUCIÓN DE FACTORES DE RIESGO EN NIÑOS, NIÑAS Y ADOLESCENTES EN EL MUNICIPIO DE BUCARAMANGA</v>
      </c>
      <c r="E241" s="13" t="s">
        <v>854</v>
      </c>
      <c r="F241" s="15">
        <v>1551</v>
      </c>
      <c r="G241" s="21" t="s">
        <v>35</v>
      </c>
      <c r="H241" s="21" t="s">
        <v>36</v>
      </c>
      <c r="I241" s="13" t="s">
        <v>855</v>
      </c>
      <c r="J241" s="13" t="s">
        <v>212</v>
      </c>
      <c r="K241" s="16">
        <v>44974</v>
      </c>
      <c r="L241" s="17">
        <v>8333333.3300000001</v>
      </c>
      <c r="M241" s="17">
        <v>8333333.3300000001</v>
      </c>
      <c r="N241" s="18">
        <f>2500000+916666.67+2500000+2416666.66</f>
        <v>8333333.3300000001</v>
      </c>
      <c r="O241" s="22" t="s">
        <v>856</v>
      </c>
      <c r="Q241" s="13">
        <v>2647</v>
      </c>
      <c r="R241" s="13" t="s">
        <v>164</v>
      </c>
      <c r="S241" s="13" t="s">
        <v>857</v>
      </c>
      <c r="T241" s="13" t="s">
        <v>16</v>
      </c>
      <c r="U241" s="17">
        <f t="shared" si="9"/>
        <v>0</v>
      </c>
    </row>
    <row r="242" spans="1:21" x14ac:dyDescent="0.3">
      <c r="A242" s="13">
        <v>93</v>
      </c>
      <c r="B242" s="13" t="str">
        <f>+VLOOKUP(A242,'[1]PA 2023'!$A$8:$E$84,5)</f>
        <v>Mantener en funcionamiento los 3 Centros Vida con la prestacion de servicios integrales y/o dotacion de los mismos cumpliendo con la oferta institucional.</v>
      </c>
      <c r="C242" s="14">
        <v>2020680010040</v>
      </c>
      <c r="D242" s="14" t="str">
        <f>+VLOOKUP(C242,'[1]PA 2023'!$G$8:$H$84,2,FALSE)</f>
        <v>IMPLEMENTACIÓN DE ACCIONES TENDIENTES A MEJORAR LAS CONDICIONES DE LOS ADULTOS MAYORES DEL MUNICIPIO DE BUCARAMANGA</v>
      </c>
      <c r="E242" s="13" t="s">
        <v>858</v>
      </c>
      <c r="F242" s="15">
        <v>1549</v>
      </c>
      <c r="G242" s="21" t="s">
        <v>35</v>
      </c>
      <c r="H242" s="21" t="s">
        <v>36</v>
      </c>
      <c r="I242" s="13" t="s">
        <v>859</v>
      </c>
      <c r="J242" s="13" t="s">
        <v>574</v>
      </c>
      <c r="K242" s="16">
        <v>44974</v>
      </c>
      <c r="L242" s="17">
        <v>10500000</v>
      </c>
      <c r="M242" s="17">
        <v>10500000</v>
      </c>
      <c r="N242" s="18">
        <f>4155000+3000000+2900000</f>
        <v>10055000</v>
      </c>
      <c r="O242" s="22" t="s">
        <v>860</v>
      </c>
      <c r="Q242" s="13">
        <v>2648</v>
      </c>
      <c r="R242" s="13" t="s">
        <v>26</v>
      </c>
      <c r="S242" s="13" t="s">
        <v>861</v>
      </c>
      <c r="T242" s="13" t="s">
        <v>16</v>
      </c>
      <c r="U242" s="17">
        <f t="shared" si="9"/>
        <v>445000</v>
      </c>
    </row>
    <row r="243" spans="1:21" x14ac:dyDescent="0.3">
      <c r="A243" s="13">
        <v>93</v>
      </c>
      <c r="B243" s="13" t="str">
        <f>+VLOOKUP(A243,'[1]PA 2023'!$A$8:$E$84,5)</f>
        <v>Mantener en funcionamiento los 3 Centros Vida con la prestacion de servicios integrales y/o dotacion de los mismos cumpliendo con la oferta institucional.</v>
      </c>
      <c r="C243" s="14">
        <v>2020680010040</v>
      </c>
      <c r="D243" s="14" t="str">
        <f>+VLOOKUP(C243,'[1]PA 2023'!$G$8:$H$84,2,FALSE)</f>
        <v>IMPLEMENTACIÓN DE ACCIONES TENDIENTES A MEJORAR LAS CONDICIONES DE LOS ADULTOS MAYORES DEL MUNICIPIO DE BUCARAMANGA</v>
      </c>
      <c r="E243" s="13" t="s">
        <v>862</v>
      </c>
      <c r="F243" s="15">
        <v>1550</v>
      </c>
      <c r="G243" s="21" t="s">
        <v>35</v>
      </c>
      <c r="H243" s="21" t="s">
        <v>36</v>
      </c>
      <c r="I243" s="13" t="s">
        <v>863</v>
      </c>
      <c r="J243" s="13" t="s">
        <v>574</v>
      </c>
      <c r="K243" s="16">
        <v>44974</v>
      </c>
      <c r="L243" s="17">
        <v>8333333.3300000001</v>
      </c>
      <c r="M243" s="17">
        <v>8333333.3300000001</v>
      </c>
      <c r="N243" s="18">
        <f>3416666.67+2500000+2416666.66</f>
        <v>8333333.3300000001</v>
      </c>
      <c r="O243" s="22" t="s">
        <v>864</v>
      </c>
      <c r="Q243" s="13">
        <v>2649</v>
      </c>
      <c r="R243" s="13" t="s">
        <v>26</v>
      </c>
      <c r="S243" s="13" t="s">
        <v>865</v>
      </c>
      <c r="T243" s="13" t="s">
        <v>16</v>
      </c>
      <c r="U243" s="17">
        <f t="shared" si="9"/>
        <v>0</v>
      </c>
    </row>
    <row r="244" spans="1:21" x14ac:dyDescent="0.3">
      <c r="A244" s="13">
        <v>71</v>
      </c>
      <c r="B244" s="13" t="str">
        <f>+VLOOKUP(A244,'[1]PA 2023'!$A$8:$E$84,5)</f>
        <v>Formular e implementar 1 estrategia de corresponsabilidad en la garantía de derechos, la prevención de vulneración, amenaza o riesgo en el ámbito familiar, comunitario e institucional.</v>
      </c>
      <c r="C244" s="14">
        <v>2022680010056</v>
      </c>
      <c r="D244" s="14" t="str">
        <f>+VLOOKUP(C244,'[1]PA 2023'!$G$8:$H$84,2,FALSE)</f>
        <v>APOYO EN LOS PROCESOS DE ATENCIÓN INTEGRAL DE LOS NIÑOS Y NIÑAS EN EL ESPACIO DE CUIDADO Y ALBERGUE "CASA BÚHO" EN EL MUNICIPIO DE BUCARAMANGA</v>
      </c>
      <c r="E244" s="13" t="s">
        <v>330</v>
      </c>
      <c r="F244" s="15">
        <v>1542</v>
      </c>
      <c r="G244" s="21" t="s">
        <v>35</v>
      </c>
      <c r="H244" s="21" t="s">
        <v>36</v>
      </c>
      <c r="I244" s="13" t="s">
        <v>866</v>
      </c>
      <c r="J244" s="13" t="s">
        <v>168</v>
      </c>
      <c r="K244" s="16">
        <v>44974</v>
      </c>
      <c r="L244" s="17">
        <v>7333333.3300000001</v>
      </c>
      <c r="M244" s="17">
        <v>7333333.3300000001</v>
      </c>
      <c r="N244" s="18">
        <f>3006666.67+2200000+2126666.66</f>
        <v>7333333.3300000001</v>
      </c>
      <c r="O244" s="22" t="s">
        <v>867</v>
      </c>
      <c r="Q244" s="13">
        <v>2650</v>
      </c>
      <c r="R244" s="13" t="s">
        <v>170</v>
      </c>
      <c r="S244" s="13" t="s">
        <v>868</v>
      </c>
      <c r="T244" s="13" t="s">
        <v>16</v>
      </c>
      <c r="U244" s="17">
        <f t="shared" si="9"/>
        <v>0</v>
      </c>
    </row>
    <row r="245" spans="1:21" x14ac:dyDescent="0.3">
      <c r="A245" s="13">
        <v>78</v>
      </c>
      <c r="B245" s="13" t="str">
        <f>+VLOOKUP(A245,'[1]PA 2023'!$A$8:$E$84,5)</f>
        <v>Formular e implementar 1 ruta de atención integral para niños, niñas, adolescentes refugiados y migrantes y sus familias.</v>
      </c>
      <c r="C245" s="14">
        <v>2022680010056</v>
      </c>
      <c r="D245" s="14" t="str">
        <f>+VLOOKUP(C245,'[1]PA 2023'!$G$8:$H$84,2,FALSE)</f>
        <v>APOYO EN LOS PROCESOS DE ATENCIÓN INTEGRAL DE LOS NIÑOS Y NIÑAS EN EL ESPACIO DE CUIDADO Y ALBERGUE "CASA BÚHO" EN EL MUNICIPIO DE BUCARAMANGA</v>
      </c>
      <c r="E245" s="13" t="s">
        <v>869</v>
      </c>
      <c r="F245" s="15" t="s">
        <v>22</v>
      </c>
      <c r="G245" s="22" t="s">
        <v>23</v>
      </c>
      <c r="H245" s="21" t="s">
        <v>23</v>
      </c>
      <c r="I245" s="13" t="s">
        <v>24</v>
      </c>
      <c r="J245" s="13" t="s">
        <v>168</v>
      </c>
      <c r="K245" s="16">
        <v>44977</v>
      </c>
      <c r="L245" s="17">
        <v>138500</v>
      </c>
      <c r="M245" s="17">
        <v>138500</v>
      </c>
      <c r="N245" s="18">
        <v>138500</v>
      </c>
      <c r="O245" s="15" t="s">
        <v>23</v>
      </c>
      <c r="Q245" s="13">
        <v>2654</v>
      </c>
      <c r="R245" s="13" t="s">
        <v>170</v>
      </c>
      <c r="S245" s="13" t="s">
        <v>27</v>
      </c>
      <c r="T245" s="13" t="s">
        <v>16</v>
      </c>
      <c r="U245" s="17">
        <f t="shared" si="9"/>
        <v>0</v>
      </c>
    </row>
    <row r="246" spans="1:21" x14ac:dyDescent="0.3">
      <c r="A246" s="13">
        <v>93</v>
      </c>
      <c r="B246" s="13" t="str">
        <f>+VLOOKUP(A246,'[1]PA 2023'!$A$8:$E$84,5)</f>
        <v>Mantener en funcionamiento los 3 Centros Vida con la prestacion de servicios integrales y/o dotacion de los mismos cumpliendo con la oferta institucional.</v>
      </c>
      <c r="C246" s="14">
        <v>2020680010040</v>
      </c>
      <c r="D246" s="14" t="str">
        <f>+VLOOKUP(C246,'[1]PA 2023'!$G$8:$H$84,2,FALSE)</f>
        <v>IMPLEMENTACIÓN DE ACCIONES TENDIENTES A MEJORAR LAS CONDICIONES DE LOS ADULTOS MAYORES DEL MUNICIPIO DE BUCARAMANGA</v>
      </c>
      <c r="E246" s="13" t="s">
        <v>870</v>
      </c>
      <c r="F246" s="15" t="s">
        <v>22</v>
      </c>
      <c r="G246" s="22" t="s">
        <v>23</v>
      </c>
      <c r="H246" s="21" t="s">
        <v>23</v>
      </c>
      <c r="I246" s="13" t="s">
        <v>24</v>
      </c>
      <c r="J246" s="13" t="s">
        <v>25</v>
      </c>
      <c r="K246" s="16">
        <v>44977</v>
      </c>
      <c r="L246" s="17">
        <v>854220</v>
      </c>
      <c r="M246" s="17">
        <v>854220</v>
      </c>
      <c r="N246" s="18">
        <v>854220</v>
      </c>
      <c r="O246" s="15" t="s">
        <v>23</v>
      </c>
      <c r="Q246" s="13">
        <v>2655</v>
      </c>
      <c r="R246" s="13" t="s">
        <v>26</v>
      </c>
      <c r="S246" s="13" t="s">
        <v>27</v>
      </c>
      <c r="T246" s="13" t="s">
        <v>16</v>
      </c>
      <c r="U246" s="17">
        <f t="shared" si="9"/>
        <v>0</v>
      </c>
    </row>
    <row r="247" spans="1:21" x14ac:dyDescent="0.3">
      <c r="A247" s="13">
        <v>285</v>
      </c>
      <c r="B247" s="13" t="str">
        <f>+VLOOKUP(A247,'[1]PA 2023'!$A$8:$E$84,5)</f>
        <v>Mantener en funcionamiento el 100% de los salones comunales que hacen parte del programa Ágoras.</v>
      </c>
      <c r="C247" s="14">
        <v>2022680010029</v>
      </c>
      <c r="D247" s="14" t="str">
        <f>+VLOOKUP(C247,'[1]PA 2023'!$G$8:$H$84,2,FALSE)</f>
        <v>FORTALECIMIENTO DE LA PARTICIPACIÓN CIUDADANA EN EL MUNICIPIO DE BUCARAMANGA</v>
      </c>
      <c r="E247" s="13" t="s">
        <v>871</v>
      </c>
      <c r="F247" s="15" t="s">
        <v>22</v>
      </c>
      <c r="G247" s="22" t="s">
        <v>23</v>
      </c>
      <c r="H247" s="21" t="s">
        <v>23</v>
      </c>
      <c r="I247" s="13" t="s">
        <v>24</v>
      </c>
      <c r="J247" s="13" t="s">
        <v>468</v>
      </c>
      <c r="K247" s="16">
        <v>44977</v>
      </c>
      <c r="L247" s="17">
        <v>481107</v>
      </c>
      <c r="M247" s="17">
        <v>481107</v>
      </c>
      <c r="N247" s="18">
        <v>481107</v>
      </c>
      <c r="O247" s="15" t="s">
        <v>23</v>
      </c>
      <c r="Q247" s="13">
        <v>2656</v>
      </c>
      <c r="R247" s="13" t="s">
        <v>134</v>
      </c>
      <c r="S247" s="13" t="s">
        <v>27</v>
      </c>
      <c r="T247" s="13" t="s">
        <v>16</v>
      </c>
      <c r="U247" s="17">
        <f t="shared" si="9"/>
        <v>0</v>
      </c>
    </row>
    <row r="248" spans="1:21" x14ac:dyDescent="0.3">
      <c r="A248" s="13">
        <v>93</v>
      </c>
      <c r="B248" s="13" t="str">
        <f>+VLOOKUP(A248,'[1]PA 2023'!$A$8:$E$84,5)</f>
        <v>Mantener en funcionamiento los 3 Centros Vida con la prestacion de servicios integrales y/o dotacion de los mismos cumpliendo con la oferta institucional.</v>
      </c>
      <c r="C248" s="14">
        <v>2020680010040</v>
      </c>
      <c r="D248" s="14" t="str">
        <f>+VLOOKUP(C248,'[1]PA 2023'!$G$8:$H$84,2,FALSE)</f>
        <v>IMPLEMENTACIÓN DE ACCIONES TENDIENTES A MEJORAR LAS CONDICIONES DE LOS ADULTOS MAYORES DEL MUNICIPIO DE BUCARAMANGA</v>
      </c>
      <c r="E248" s="13" t="s">
        <v>872</v>
      </c>
      <c r="F248" s="15" t="s">
        <v>22</v>
      </c>
      <c r="G248" s="22" t="s">
        <v>23</v>
      </c>
      <c r="H248" s="21" t="s">
        <v>23</v>
      </c>
      <c r="I248" s="13" t="s">
        <v>29</v>
      </c>
      <c r="J248" s="13" t="s">
        <v>25</v>
      </c>
      <c r="K248" s="16">
        <v>44977</v>
      </c>
      <c r="L248" s="17">
        <v>52330</v>
      </c>
      <c r="M248" s="17">
        <v>52330</v>
      </c>
      <c r="N248" s="18">
        <v>52330</v>
      </c>
      <c r="O248" s="15" t="s">
        <v>23</v>
      </c>
      <c r="Q248" s="13">
        <v>2657</v>
      </c>
      <c r="R248" s="13" t="s">
        <v>26</v>
      </c>
      <c r="S248" s="13" t="s">
        <v>30</v>
      </c>
      <c r="T248" s="13" t="s">
        <v>16</v>
      </c>
      <c r="U248" s="17">
        <f t="shared" si="9"/>
        <v>0</v>
      </c>
    </row>
    <row r="249" spans="1:21" x14ac:dyDescent="0.3">
      <c r="A249" s="13">
        <v>93</v>
      </c>
      <c r="B249" s="13" t="str">
        <f>+VLOOKUP(A249,'[1]PA 2023'!$A$8:$E$84,5)</f>
        <v>Mantener en funcionamiento los 3 Centros Vida con la prestacion de servicios integrales y/o dotacion de los mismos cumpliendo con la oferta institucional.</v>
      </c>
      <c r="C249" s="14">
        <v>2020680010040</v>
      </c>
      <c r="D249" s="14" t="str">
        <f>+VLOOKUP(C249,'[1]PA 2023'!$G$8:$H$84,2,FALSE)</f>
        <v>IMPLEMENTACIÓN DE ACCIONES TENDIENTES A MEJORAR LAS CONDICIONES DE LOS ADULTOS MAYORES DEL MUNICIPIO DE BUCARAMANGA</v>
      </c>
      <c r="E249" s="13" t="s">
        <v>873</v>
      </c>
      <c r="F249" s="15" t="s">
        <v>22</v>
      </c>
      <c r="G249" s="22" t="s">
        <v>23</v>
      </c>
      <c r="H249" s="21" t="s">
        <v>23</v>
      </c>
      <c r="I249" s="13" t="s">
        <v>32</v>
      </c>
      <c r="J249" s="13" t="s">
        <v>25</v>
      </c>
      <c r="K249" s="16">
        <v>44977</v>
      </c>
      <c r="L249" s="17">
        <v>84063</v>
      </c>
      <c r="M249" s="17">
        <v>84063</v>
      </c>
      <c r="N249" s="18">
        <v>84063</v>
      </c>
      <c r="O249" s="15" t="s">
        <v>23</v>
      </c>
      <c r="Q249" s="13">
        <v>2658</v>
      </c>
      <c r="R249" s="13" t="s">
        <v>26</v>
      </c>
      <c r="S249" s="13" t="s">
        <v>33</v>
      </c>
      <c r="T249" s="13" t="s">
        <v>16</v>
      </c>
      <c r="U249" s="17">
        <f t="shared" si="9"/>
        <v>0</v>
      </c>
    </row>
    <row r="250" spans="1:21" x14ac:dyDescent="0.3">
      <c r="A250" s="13">
        <v>83</v>
      </c>
      <c r="B250" s="13" t="str">
        <f>+VLOOKUP(A250,'[1]PA 2023'!$A$8:$E$84,5)</f>
        <v>Implementar y mantener 1 proceso de liderazgo b-learning orientada al fortalecimiento de la participación de niños, niñas, adolescentes y jóvenes.</v>
      </c>
      <c r="C250" s="14">
        <v>2021680010003</v>
      </c>
      <c r="D250" s="14" t="str">
        <f>+VLOOKUP(C250,'[1]PA 2023'!$G$8:$H$84,2,FALSE)</f>
        <v>IMPLEMENTACIÓN DE ESTRATEGIAS PSICOPEDAGÓGICAS PARA LA DISMINUCIÓN DE FACTORES DE RIESGO EN NIÑOS, NIÑAS Y ADOLESCENTES EN EL MUNICIPIO DE BUCARAMANGA</v>
      </c>
      <c r="E250" s="13" t="s">
        <v>874</v>
      </c>
      <c r="F250" s="15">
        <v>1559</v>
      </c>
      <c r="G250" s="21" t="s">
        <v>43</v>
      </c>
      <c r="H250" s="21" t="s">
        <v>36</v>
      </c>
      <c r="I250" s="13" t="s">
        <v>875</v>
      </c>
      <c r="J250" s="13" t="s">
        <v>212</v>
      </c>
      <c r="K250" s="16">
        <v>44977</v>
      </c>
      <c r="L250" s="17">
        <v>11666666.67</v>
      </c>
      <c r="M250" s="17">
        <v>11666666.67</v>
      </c>
      <c r="N250" s="18">
        <f>4783333.33+3500000+3383333.34</f>
        <v>11666666.67</v>
      </c>
      <c r="O250" s="22" t="s">
        <v>876</v>
      </c>
      <c r="Q250" s="13">
        <v>2659</v>
      </c>
      <c r="R250" s="13" t="s">
        <v>164</v>
      </c>
      <c r="S250" s="13" t="s">
        <v>877</v>
      </c>
      <c r="T250" s="13" t="s">
        <v>16</v>
      </c>
      <c r="U250" s="17">
        <f t="shared" si="9"/>
        <v>0</v>
      </c>
    </row>
    <row r="251" spans="1:21" x14ac:dyDescent="0.3">
      <c r="A251" s="13">
        <v>71</v>
      </c>
      <c r="B251" s="13" t="str">
        <f>+VLOOKUP(A251,'[1]PA 2023'!$A$8:$E$84,5)</f>
        <v>Formular e implementar 1 estrategia de corresponsabilidad en la garantía de derechos, la prevención de vulneración, amenaza o riesgo en el ámbito familiar, comunitario e institucional.</v>
      </c>
      <c r="C251" s="14">
        <v>2021680010003</v>
      </c>
      <c r="D251" s="14" t="str">
        <f>+VLOOKUP(C251,'[1]PA 2023'!$G$8:$H$84,2,FALSE)</f>
        <v>IMPLEMENTACIÓN DE ESTRATEGIAS PSICOPEDAGÓGICAS PARA LA DISMINUCIÓN DE FACTORES DE RIESGO EN NIÑOS, NIÑAS Y ADOLESCENTES EN EL MUNICIPIO DE BUCARAMANGA</v>
      </c>
      <c r="E251" s="13" t="s">
        <v>878</v>
      </c>
      <c r="F251" s="15">
        <v>1562</v>
      </c>
      <c r="G251" s="21" t="s">
        <v>43</v>
      </c>
      <c r="H251" s="21" t="s">
        <v>36</v>
      </c>
      <c r="I251" s="13" t="s">
        <v>879</v>
      </c>
      <c r="J251" s="13" t="s">
        <v>212</v>
      </c>
      <c r="K251" s="16">
        <v>44977</v>
      </c>
      <c r="L251" s="17">
        <v>11666667</v>
      </c>
      <c r="M251" s="17">
        <v>11666667</v>
      </c>
      <c r="N251" s="18">
        <f>4666666.8+3500000.1+3500000.1</f>
        <v>11666667</v>
      </c>
      <c r="O251" s="22" t="s">
        <v>880</v>
      </c>
      <c r="Q251" s="13">
        <v>2660</v>
      </c>
      <c r="R251" s="13" t="s">
        <v>164</v>
      </c>
      <c r="S251" s="13" t="s">
        <v>881</v>
      </c>
      <c r="T251" s="13" t="s">
        <v>16</v>
      </c>
      <c r="U251" s="17">
        <f t="shared" si="9"/>
        <v>0</v>
      </c>
    </row>
    <row r="252" spans="1:21" x14ac:dyDescent="0.3">
      <c r="A252" s="13">
        <v>300</v>
      </c>
      <c r="B252" s="13" t="str">
        <f>+VLOOKUP(A252,'[1]PA 2023'!$A$8:$E$84,5)</f>
        <v>Mantener el 100% de los programas que desarrolla la Administración Central.</v>
      </c>
      <c r="C252" s="14">
        <v>2020680010025</v>
      </c>
      <c r="D252" s="14" t="str">
        <f>+VLOOKUP(C252,'[1]PA 2023'!$G$8:$H$84,2,FALSE)</f>
        <v>MEJORAMIENTO DE LOS PROCESOS TRANSVERSALES PARA UNA ADMINISTRACIÓN PUBLICA MODERNA Y EFICIENTE EN LA SECRETARÍA DE DESARROLLO SOCIAL DEL MUNICIPIO BUCARAMANGA</v>
      </c>
      <c r="E252" s="13" t="s">
        <v>882</v>
      </c>
      <c r="F252" s="15">
        <v>1554</v>
      </c>
      <c r="G252" s="21" t="s">
        <v>43</v>
      </c>
      <c r="H252" s="21" t="s">
        <v>36</v>
      </c>
      <c r="I252" s="13" t="s">
        <v>883</v>
      </c>
      <c r="J252" s="13" t="s">
        <v>38</v>
      </c>
      <c r="K252" s="16">
        <v>44977</v>
      </c>
      <c r="L252" s="17">
        <v>11666666.67</v>
      </c>
      <c r="M252" s="17">
        <v>11666666.67</v>
      </c>
      <c r="N252" s="18">
        <f>4783333.33+3500000+3383333.34</f>
        <v>11666666.67</v>
      </c>
      <c r="O252" s="22" t="s">
        <v>884</v>
      </c>
      <c r="Q252" s="13">
        <v>2661</v>
      </c>
      <c r="R252" s="13" t="s">
        <v>40</v>
      </c>
      <c r="S252" s="13" t="s">
        <v>885</v>
      </c>
      <c r="T252" s="13" t="s">
        <v>16</v>
      </c>
      <c r="U252" s="17">
        <f t="shared" si="9"/>
        <v>0</v>
      </c>
    </row>
    <row r="253" spans="1:21" x14ac:dyDescent="0.3">
      <c r="A253" s="13">
        <v>95</v>
      </c>
      <c r="B253" s="13" t="str">
        <f>+VLOOKUP(A253,'[1]PA 2023'!$A$8:$E$84,5)</f>
        <v>Formular e implementar 1 estrategia que promueva  las actividades psicosociales, actividades artísticas y culturales,   actividades físicas y recreación y actividades productivas en las personas mayores.</v>
      </c>
      <c r="C253" s="14">
        <v>2020680010040</v>
      </c>
      <c r="D253" s="14" t="str">
        <f>+VLOOKUP(C253,'[1]PA 2023'!$G$8:$H$84,2,FALSE)</f>
        <v>IMPLEMENTACIÓN DE ACCIONES TENDIENTES A MEJORAR LAS CONDICIONES DE LOS ADULTOS MAYORES DEL MUNICIPIO DE BUCARAMANGA</v>
      </c>
      <c r="E253" s="13" t="s">
        <v>886</v>
      </c>
      <c r="F253" s="15">
        <v>1545</v>
      </c>
      <c r="G253" s="21" t="s">
        <v>43</v>
      </c>
      <c r="H253" s="21" t="s">
        <v>36</v>
      </c>
      <c r="I253" s="13" t="s">
        <v>887</v>
      </c>
      <c r="J253" s="13" t="s">
        <v>574</v>
      </c>
      <c r="K253" s="16">
        <v>44977</v>
      </c>
      <c r="L253" s="17">
        <v>10000000</v>
      </c>
      <c r="M253" s="17">
        <v>10000000</v>
      </c>
      <c r="N253" s="18">
        <f>4100000+3000000+2900000</f>
        <v>10000000</v>
      </c>
      <c r="O253" s="22" t="s">
        <v>888</v>
      </c>
      <c r="Q253" s="13">
        <v>2662</v>
      </c>
      <c r="R253" s="13" t="s">
        <v>26</v>
      </c>
      <c r="S253" s="13" t="s">
        <v>889</v>
      </c>
      <c r="T253" s="13" t="s">
        <v>16</v>
      </c>
      <c r="U253" s="17">
        <f t="shared" si="9"/>
        <v>0</v>
      </c>
    </row>
    <row r="254" spans="1:21" x14ac:dyDescent="0.3">
      <c r="A254" s="13">
        <v>93</v>
      </c>
      <c r="B254" s="13" t="str">
        <f>+VLOOKUP(A254,'[1]PA 2023'!$A$8:$E$84,5)</f>
        <v>Mantener en funcionamiento los 3 Centros Vida con la prestacion de servicios integrales y/o dotacion de los mismos cumpliendo con la oferta institucional.</v>
      </c>
      <c r="C254" s="14">
        <v>2020680010040</v>
      </c>
      <c r="D254" s="14" t="str">
        <f>+VLOOKUP(C254,'[1]PA 2023'!$G$8:$H$84,2,FALSE)</f>
        <v>IMPLEMENTACIÓN DE ACCIONES TENDIENTES A MEJORAR LAS CONDICIONES DE LOS ADULTOS MAYORES DEL MUNICIPIO DE BUCARAMANGA</v>
      </c>
      <c r="E254" s="13" t="s">
        <v>700</v>
      </c>
      <c r="F254" s="15">
        <v>1544</v>
      </c>
      <c r="G254" s="22" t="s">
        <v>43</v>
      </c>
      <c r="H254" s="21" t="s">
        <v>36</v>
      </c>
      <c r="I254" s="13" t="s">
        <v>890</v>
      </c>
      <c r="J254" s="13" t="s">
        <v>574</v>
      </c>
      <c r="K254" s="16">
        <v>44977</v>
      </c>
      <c r="L254" s="17">
        <v>10500000</v>
      </c>
      <c r="M254" s="17">
        <v>10500000</v>
      </c>
      <c r="N254" s="18">
        <f>4100000+3000000+3000000+300000</f>
        <v>10400000</v>
      </c>
      <c r="O254" s="22" t="s">
        <v>891</v>
      </c>
      <c r="Q254" s="13">
        <v>2682</v>
      </c>
      <c r="R254" s="13" t="s">
        <v>26</v>
      </c>
      <c r="S254" s="13" t="s">
        <v>892</v>
      </c>
      <c r="T254" s="13" t="s">
        <v>16</v>
      </c>
      <c r="U254" s="17">
        <f t="shared" si="9"/>
        <v>100000</v>
      </c>
    </row>
    <row r="255" spans="1:21" x14ac:dyDescent="0.3">
      <c r="A255" s="13">
        <v>285</v>
      </c>
      <c r="B255" s="13" t="str">
        <f>+VLOOKUP(A255,'[1]PA 2023'!$A$8:$E$84,5)</f>
        <v>Mantener en funcionamiento el 100% de los salones comunales que hacen parte del programa Ágoras.</v>
      </c>
      <c r="C255" s="14">
        <v>2022680010029</v>
      </c>
      <c r="D255" s="14" t="str">
        <f>+VLOOKUP(C255,'[1]PA 2023'!$G$8:$H$84,2,FALSE)</f>
        <v>FORTALECIMIENTO DE LA PARTICIPACIÓN CIUDADANA EN EL MUNICIPIO DE BUCARAMANGA</v>
      </c>
      <c r="E255" s="13" t="s">
        <v>637</v>
      </c>
      <c r="F255" s="15">
        <v>1553</v>
      </c>
      <c r="G255" s="21" t="s">
        <v>35</v>
      </c>
      <c r="H255" s="21" t="s">
        <v>36</v>
      </c>
      <c r="I255" s="13" t="s">
        <v>893</v>
      </c>
      <c r="J255" s="13" t="s">
        <v>468</v>
      </c>
      <c r="K255" s="16">
        <v>44977</v>
      </c>
      <c r="L255" s="17">
        <v>6000000</v>
      </c>
      <c r="M255" s="17">
        <v>6000000</v>
      </c>
      <c r="N255" s="18">
        <f>2460000+1800000+1740000</f>
        <v>6000000</v>
      </c>
      <c r="O255" s="22" t="s">
        <v>894</v>
      </c>
      <c r="Q255" s="13">
        <v>2683</v>
      </c>
      <c r="R255" s="13" t="s">
        <v>134</v>
      </c>
      <c r="S255" s="13" t="s">
        <v>895</v>
      </c>
      <c r="T255" s="13" t="s">
        <v>16</v>
      </c>
      <c r="U255" s="17">
        <f t="shared" si="9"/>
        <v>0</v>
      </c>
    </row>
    <row r="256" spans="1:21" x14ac:dyDescent="0.3">
      <c r="A256" s="13">
        <v>111</v>
      </c>
      <c r="B256" s="13" t="str">
        <f>+VLOOKUP(A256,'[1]PA 2023'!$A$8:$E$84,5)</f>
        <v xml:space="preserve">Mantener la identificación, caracterización y seguimiento de la situación de cada habitante de calle atendido por la Secretaría de Desarrollo Social. </v>
      </c>
      <c r="C256" s="14">
        <v>2020680010050</v>
      </c>
      <c r="D256" s="14" t="str">
        <f>+VLOOKUP(C256,'[1]PA 2023'!$G$8:$H$84,2,FALSE)</f>
        <v>DESARROLLO DE ACCIONES ENCAMINADAS A GENERAR ATENCIÓN INTEGRAL HACIA LA POBLACIÓN HABITANTES EN SITUACIÓN DE CALLE DEL MUNICIPIO DE BUCARAMANGA</v>
      </c>
      <c r="E256" s="13" t="s">
        <v>896</v>
      </c>
      <c r="F256" s="15">
        <v>1537</v>
      </c>
      <c r="G256" s="22" t="s">
        <v>35</v>
      </c>
      <c r="H256" s="21" t="s">
        <v>36</v>
      </c>
      <c r="I256" s="13" t="s">
        <v>897</v>
      </c>
      <c r="J256" s="13" t="s">
        <v>768</v>
      </c>
      <c r="K256" s="16">
        <v>44978</v>
      </c>
      <c r="L256" s="17">
        <v>7700000</v>
      </c>
      <c r="M256" s="17">
        <v>7700000</v>
      </c>
      <c r="N256" s="18">
        <f>2933333.33+2200000+2200000+293333.33</f>
        <v>7626666.6600000001</v>
      </c>
      <c r="O256" s="22" t="s">
        <v>898</v>
      </c>
      <c r="Q256" s="13">
        <v>2733</v>
      </c>
      <c r="R256" s="13" t="s">
        <v>770</v>
      </c>
      <c r="S256" s="13" t="s">
        <v>899</v>
      </c>
      <c r="T256" s="13" t="s">
        <v>16</v>
      </c>
      <c r="U256" s="17">
        <f t="shared" si="9"/>
        <v>73333.339999999851</v>
      </c>
    </row>
    <row r="257" spans="1:21" x14ac:dyDescent="0.3">
      <c r="A257" s="13">
        <v>285</v>
      </c>
      <c r="B257" s="13" t="str">
        <f>+VLOOKUP(A257,'[1]PA 2023'!$A$8:$E$84,5)</f>
        <v>Mantener en funcionamiento el 100% de los salones comunales que hacen parte del programa Ágoras.</v>
      </c>
      <c r="C257" s="14">
        <v>2022680010029</v>
      </c>
      <c r="D257" s="14" t="str">
        <f>+VLOOKUP(C257,'[1]PA 2023'!$G$8:$H$84,2,FALSE)</f>
        <v>FORTALECIMIENTO DE LA PARTICIPACIÓN CIUDADANA EN EL MUNICIPIO DE BUCARAMANGA</v>
      </c>
      <c r="E257" s="13" t="s">
        <v>900</v>
      </c>
      <c r="F257" s="15" t="s">
        <v>22</v>
      </c>
      <c r="G257" s="22" t="s">
        <v>23</v>
      </c>
      <c r="H257" s="21" t="s">
        <v>23</v>
      </c>
      <c r="I257" s="13" t="s">
        <v>901</v>
      </c>
      <c r="J257" s="13" t="s">
        <v>468</v>
      </c>
      <c r="K257" s="16">
        <v>44978</v>
      </c>
      <c r="L257" s="17">
        <v>169170</v>
      </c>
      <c r="M257" s="17">
        <v>169170</v>
      </c>
      <c r="N257" s="18">
        <v>169170</v>
      </c>
      <c r="O257" s="15" t="s">
        <v>23</v>
      </c>
      <c r="Q257" s="13">
        <v>2744</v>
      </c>
      <c r="R257" s="13" t="s">
        <v>134</v>
      </c>
      <c r="S257" s="13" t="s">
        <v>902</v>
      </c>
      <c r="T257" s="13" t="s">
        <v>16</v>
      </c>
      <c r="U257" s="17">
        <f t="shared" si="9"/>
        <v>0</v>
      </c>
    </row>
    <row r="258" spans="1:21" x14ac:dyDescent="0.3">
      <c r="A258" s="13">
        <v>285</v>
      </c>
      <c r="B258" s="13" t="str">
        <f>+VLOOKUP(A258,'[1]PA 2023'!$A$8:$E$84,5)</f>
        <v>Mantener en funcionamiento el 100% de los salones comunales que hacen parte del programa Ágoras.</v>
      </c>
      <c r="C258" s="14">
        <v>2022680010029</v>
      </c>
      <c r="D258" s="14" t="str">
        <f>+VLOOKUP(C258,'[1]PA 2023'!$G$8:$H$84,2,FALSE)</f>
        <v>FORTALECIMIENTO DE LA PARTICIPACIÓN CIUDADANA EN EL MUNICIPIO DE BUCARAMANGA</v>
      </c>
      <c r="E258" s="13" t="s">
        <v>903</v>
      </c>
      <c r="F258" s="15" t="s">
        <v>22</v>
      </c>
      <c r="G258" s="22" t="s">
        <v>23</v>
      </c>
      <c r="H258" s="21" t="s">
        <v>23</v>
      </c>
      <c r="I258" s="13" t="s">
        <v>904</v>
      </c>
      <c r="J258" s="13" t="s">
        <v>468</v>
      </c>
      <c r="K258" s="16">
        <v>44978</v>
      </c>
      <c r="L258" s="17">
        <v>500002</v>
      </c>
      <c r="M258" s="17">
        <v>500002</v>
      </c>
      <c r="N258" s="18">
        <v>500002</v>
      </c>
      <c r="O258" s="15" t="s">
        <v>23</v>
      </c>
      <c r="Q258" s="13">
        <v>2745</v>
      </c>
      <c r="R258" s="13" t="s">
        <v>134</v>
      </c>
      <c r="S258" s="13" t="s">
        <v>905</v>
      </c>
      <c r="T258" s="13" t="s">
        <v>16</v>
      </c>
      <c r="U258" s="17">
        <f t="shared" si="9"/>
        <v>0</v>
      </c>
    </row>
    <row r="259" spans="1:21" x14ac:dyDescent="0.3">
      <c r="A259" s="13">
        <v>285</v>
      </c>
      <c r="B259" s="13" t="str">
        <f>+VLOOKUP(A259,'[1]PA 2023'!$A$8:$E$84,5)</f>
        <v>Mantener en funcionamiento el 100% de los salones comunales que hacen parte del programa Ágoras.</v>
      </c>
      <c r="C259" s="14">
        <v>2022680010029</v>
      </c>
      <c r="D259" s="14" t="str">
        <f>+VLOOKUP(C259,'[1]PA 2023'!$G$8:$H$84,2,FALSE)</f>
        <v>FORTALECIMIENTO DE LA PARTICIPACIÓN CIUDADANA EN EL MUNICIPIO DE BUCARAMANGA</v>
      </c>
      <c r="E259" s="13" t="s">
        <v>906</v>
      </c>
      <c r="F259" s="15" t="s">
        <v>22</v>
      </c>
      <c r="G259" s="22" t="s">
        <v>23</v>
      </c>
      <c r="H259" s="21" t="s">
        <v>23</v>
      </c>
      <c r="I259" s="13" t="s">
        <v>470</v>
      </c>
      <c r="J259" s="13" t="s">
        <v>468</v>
      </c>
      <c r="K259" s="16">
        <v>44978</v>
      </c>
      <c r="L259" s="17">
        <v>2583141</v>
      </c>
      <c r="M259" s="17">
        <v>2583141</v>
      </c>
      <c r="N259" s="18">
        <v>2583141</v>
      </c>
      <c r="O259" s="15" t="s">
        <v>23</v>
      </c>
      <c r="Q259" s="13">
        <v>2746</v>
      </c>
      <c r="R259" s="13" t="s">
        <v>134</v>
      </c>
      <c r="S259" s="13" t="s">
        <v>471</v>
      </c>
      <c r="T259" s="13" t="s">
        <v>16</v>
      </c>
      <c r="U259" s="17">
        <f t="shared" si="9"/>
        <v>0</v>
      </c>
    </row>
    <row r="260" spans="1:21" x14ac:dyDescent="0.3">
      <c r="A260" s="13">
        <v>105</v>
      </c>
      <c r="B260" s="13" t="str">
        <f>+VLOOKUP(A260,'[1]PA 2023'!$A$8:$E$84,5)</f>
        <v>Mantener el Centro Integral de la Mujer a fin de garantizar el fortalecimiento de los procesos de atención y empoderamiento femenino.</v>
      </c>
      <c r="C260" s="14">
        <v>2020680010106</v>
      </c>
      <c r="D260" s="14" t="str">
        <f>+VLOOKUP(C260,'[1]PA 2023'!$G$8:$H$84,2,FALSE)</f>
        <v>FORTALECIMIENTO DE ESPACIOS DE PARTICIPACIÓN Y PREVENCIÓN DE VIOLENCIAS EN MUJERES Y POBLACIÓN CON ORIENTACIONES SEXUALES E IDENTIDADES DE GÉNERO DIVERSAS DEL MUNICIPIO DE BUCARAMANGA</v>
      </c>
      <c r="E260" s="13" t="s">
        <v>907</v>
      </c>
      <c r="F260" s="15" t="s">
        <v>22</v>
      </c>
      <c r="G260" s="22" t="s">
        <v>23</v>
      </c>
      <c r="H260" s="21" t="s">
        <v>23</v>
      </c>
      <c r="I260" s="13" t="s">
        <v>470</v>
      </c>
      <c r="J260" s="13" t="s">
        <v>378</v>
      </c>
      <c r="K260" s="16">
        <v>44978</v>
      </c>
      <c r="L260" s="17">
        <v>631781.82999999996</v>
      </c>
      <c r="M260" s="17">
        <v>631781.82999999996</v>
      </c>
      <c r="N260" s="18">
        <v>631781.82999999996</v>
      </c>
      <c r="O260" s="15" t="s">
        <v>23</v>
      </c>
      <c r="Q260" s="13">
        <v>2747</v>
      </c>
      <c r="R260" s="23" t="s">
        <v>380</v>
      </c>
      <c r="S260" s="13" t="s">
        <v>471</v>
      </c>
      <c r="T260" s="13" t="s">
        <v>16</v>
      </c>
      <c r="U260" s="17">
        <f t="shared" si="9"/>
        <v>0</v>
      </c>
    </row>
    <row r="261" spans="1:21" x14ac:dyDescent="0.3">
      <c r="A261" s="13">
        <v>93</v>
      </c>
      <c r="B261" s="13" t="str">
        <f>+VLOOKUP(A261,'[1]PA 2023'!$A$8:$E$84,5)</f>
        <v>Mantener en funcionamiento los 3 Centros Vida con la prestacion de servicios integrales y/o dotacion de los mismos cumpliendo con la oferta institucional.</v>
      </c>
      <c r="C261" s="14">
        <v>2020680010040</v>
      </c>
      <c r="D261" s="14" t="str">
        <f>+VLOOKUP(C261,'[1]PA 2023'!$G$8:$H$84,2,FALSE)</f>
        <v>IMPLEMENTACIÓN DE ACCIONES TENDIENTES A MEJORAR LAS CONDICIONES DE LOS ADULTOS MAYORES DEL MUNICIPIO DE BUCARAMANGA</v>
      </c>
      <c r="E261" s="13" t="s">
        <v>907</v>
      </c>
      <c r="F261" s="15" t="s">
        <v>22</v>
      </c>
      <c r="G261" s="22" t="s">
        <v>23</v>
      </c>
      <c r="H261" s="21" t="s">
        <v>23</v>
      </c>
      <c r="I261" s="13" t="s">
        <v>470</v>
      </c>
      <c r="J261" s="13" t="s">
        <v>25</v>
      </c>
      <c r="K261" s="16">
        <v>44978</v>
      </c>
      <c r="L261" s="17">
        <v>1834130.27</v>
      </c>
      <c r="M261" s="17">
        <v>1834130.27</v>
      </c>
      <c r="N261" s="18">
        <v>1834130.27</v>
      </c>
      <c r="O261" s="15" t="s">
        <v>23</v>
      </c>
      <c r="Q261" s="13">
        <v>2747</v>
      </c>
      <c r="R261" s="23" t="s">
        <v>26</v>
      </c>
      <c r="S261" s="13" t="s">
        <v>471</v>
      </c>
      <c r="T261" s="13" t="s">
        <v>16</v>
      </c>
      <c r="U261" s="17">
        <f t="shared" si="9"/>
        <v>0</v>
      </c>
    </row>
    <row r="262" spans="1:21" x14ac:dyDescent="0.3">
      <c r="A262" s="13">
        <v>111</v>
      </c>
      <c r="B262" s="13" t="str">
        <f>+VLOOKUP(A262,'[1]PA 2023'!$A$8:$E$84,5)</f>
        <v xml:space="preserve">Mantener la identificación, caracterización y seguimiento de la situación de cada habitante de calle atendido por la Secretaría de Desarrollo Social. </v>
      </c>
      <c r="C262" s="14">
        <v>2020680010050</v>
      </c>
      <c r="D262" s="14" t="str">
        <f>+VLOOKUP(C262,'[1]PA 2023'!$G$8:$H$84,2,FALSE)</f>
        <v>DESARROLLO DE ACCIONES ENCAMINADAS A GENERAR ATENCIÓN INTEGRAL HACIA LA POBLACIÓN HABITANTES EN SITUACIÓN DE CALLE DEL MUNICIPIO DE BUCARAMANGA</v>
      </c>
      <c r="E262" s="13" t="s">
        <v>907</v>
      </c>
      <c r="F262" s="15" t="s">
        <v>22</v>
      </c>
      <c r="G262" s="22" t="s">
        <v>23</v>
      </c>
      <c r="H262" s="21" t="s">
        <v>23</v>
      </c>
      <c r="I262" s="13" t="s">
        <v>470</v>
      </c>
      <c r="J262" s="13" t="s">
        <v>768</v>
      </c>
      <c r="K262" s="16">
        <v>44978</v>
      </c>
      <c r="L262" s="17">
        <v>652161.9</v>
      </c>
      <c r="M262" s="17">
        <v>652161.9</v>
      </c>
      <c r="N262" s="18">
        <v>652161.9</v>
      </c>
      <c r="O262" s="15" t="s">
        <v>23</v>
      </c>
      <c r="Q262" s="13">
        <v>2747</v>
      </c>
      <c r="R262" s="23" t="s">
        <v>770</v>
      </c>
      <c r="S262" s="13" t="s">
        <v>471</v>
      </c>
      <c r="T262" s="13" t="s">
        <v>16</v>
      </c>
      <c r="U262" s="17">
        <f t="shared" si="9"/>
        <v>0</v>
      </c>
    </row>
    <row r="263" spans="1:21" x14ac:dyDescent="0.3">
      <c r="A263" s="13">
        <v>283</v>
      </c>
      <c r="B263" s="13" t="str">
        <f>+VLOOKUP(A263,'[1]PA 2023'!$A$8:$E$84,5)</f>
        <v>Formular e implementar 1 estrategia que fortalezca la democracia participativa (Ley 1757 de 2015).</v>
      </c>
      <c r="C263" s="14">
        <v>2022680010029</v>
      </c>
      <c r="D263" s="14" t="str">
        <f>+VLOOKUP(C263,'[1]PA 2023'!$G$8:$H$84,2,FALSE)</f>
        <v>FORTALECIMIENTO DE LA PARTICIPACIÓN CIUDADANA EN EL MUNICIPIO DE BUCARAMANGA</v>
      </c>
      <c r="E263" s="13" t="s">
        <v>908</v>
      </c>
      <c r="F263" s="15">
        <v>1592</v>
      </c>
      <c r="G263" s="21" t="s">
        <v>35</v>
      </c>
      <c r="H263" s="21" t="s">
        <v>36</v>
      </c>
      <c r="I263" s="13" t="s">
        <v>909</v>
      </c>
      <c r="J263" s="13" t="s">
        <v>468</v>
      </c>
      <c r="K263" s="16">
        <v>44979</v>
      </c>
      <c r="L263" s="17">
        <v>8000000</v>
      </c>
      <c r="M263" s="17">
        <v>8000000</v>
      </c>
      <c r="N263" s="18">
        <f>3120000+2400000+2400000</f>
        <v>7920000</v>
      </c>
      <c r="O263" s="22" t="s">
        <v>910</v>
      </c>
      <c r="Q263" s="13">
        <v>2779</v>
      </c>
      <c r="R263" s="13" t="s">
        <v>134</v>
      </c>
      <c r="S263" s="13" t="s">
        <v>911</v>
      </c>
      <c r="T263" s="13" t="s">
        <v>16</v>
      </c>
      <c r="U263" s="17">
        <f t="shared" si="9"/>
        <v>80000</v>
      </c>
    </row>
    <row r="264" spans="1:21" x14ac:dyDescent="0.3">
      <c r="A264" s="13">
        <v>113</v>
      </c>
      <c r="B264" s="13" t="str">
        <f>+VLOOKUP(A264,'[1]PA 2023'!$A$8:$E$84,5)</f>
        <v>Formular e implementar 1 política pública para habitante de calle.</v>
      </c>
      <c r="C264" s="14">
        <v>2020680010050</v>
      </c>
      <c r="D264" s="14" t="str">
        <f>+VLOOKUP(C264,'[1]PA 2023'!$G$8:$H$84,2,FALSE)</f>
        <v>DESARROLLO DE ACCIONES ENCAMINADAS A GENERAR ATENCIÓN INTEGRAL HACIA LA POBLACIÓN HABITANTES EN SITUACIÓN DE CALLE DEL MUNICIPIO DE BUCARAMANGA</v>
      </c>
      <c r="E264" s="13" t="s">
        <v>912</v>
      </c>
      <c r="F264" s="15">
        <v>1604</v>
      </c>
      <c r="G264" s="21" t="s">
        <v>35</v>
      </c>
      <c r="H264" s="21" t="s">
        <v>36</v>
      </c>
      <c r="I264" s="13" t="s">
        <v>913</v>
      </c>
      <c r="J264" s="13" t="s">
        <v>768</v>
      </c>
      <c r="K264" s="16">
        <v>44979</v>
      </c>
      <c r="L264" s="17">
        <v>9000000</v>
      </c>
      <c r="M264" s="17">
        <v>9000000</v>
      </c>
      <c r="N264" s="18">
        <f>2700000+810000+2700000+2700000</f>
        <v>8910000</v>
      </c>
      <c r="O264" s="22" t="s">
        <v>914</v>
      </c>
      <c r="Q264" s="13">
        <v>2780</v>
      </c>
      <c r="R264" s="13" t="s">
        <v>770</v>
      </c>
      <c r="S264" s="13" t="s">
        <v>915</v>
      </c>
      <c r="T264" s="13" t="s">
        <v>16</v>
      </c>
      <c r="U264" s="17">
        <f t="shared" si="9"/>
        <v>90000</v>
      </c>
    </row>
    <row r="265" spans="1:21" x14ac:dyDescent="0.3">
      <c r="A265" s="13">
        <v>72</v>
      </c>
      <c r="B265" s="13" t="str">
        <f>+VLOOKUP(A265,'[1]PA 2023'!$A$8:$E$84,5)</f>
        <v>Implementar 4 iniciativas que promueva la participación activa de niños y niñas desde la primera infancia en espacios de interés privados y públicos en los que se fortalezcan  habilidades para la vida, preparación para el proyecto de vida y el ejercicio de sus derechos.</v>
      </c>
      <c r="C265" s="14">
        <v>2021680010003</v>
      </c>
      <c r="D265" s="14" t="str">
        <f>+VLOOKUP(C265,'[1]PA 2023'!$G$8:$H$84,2,FALSE)</f>
        <v>IMPLEMENTACIÓN DE ESTRATEGIAS PSICOPEDAGÓGICAS PARA LA DISMINUCIÓN DE FACTORES DE RIESGO EN NIÑOS, NIÑAS Y ADOLESCENTES EN EL MUNICIPIO DE BUCARAMANGA</v>
      </c>
      <c r="E265" s="13" t="s">
        <v>916</v>
      </c>
      <c r="F265" s="15">
        <v>1600</v>
      </c>
      <c r="G265" s="21" t="s">
        <v>43</v>
      </c>
      <c r="H265" s="21" t="s">
        <v>36</v>
      </c>
      <c r="I265" s="13" t="s">
        <v>917</v>
      </c>
      <c r="J265" s="13" t="s">
        <v>212</v>
      </c>
      <c r="K265" s="16">
        <v>44979</v>
      </c>
      <c r="L265" s="17">
        <v>9500000</v>
      </c>
      <c r="M265" s="17">
        <v>9500000</v>
      </c>
      <c r="N265" s="18">
        <f>3900000+3000000+2600000</f>
        <v>9500000</v>
      </c>
      <c r="O265" s="22" t="s">
        <v>918</v>
      </c>
      <c r="Q265" s="13">
        <v>2781</v>
      </c>
      <c r="R265" s="13" t="s">
        <v>164</v>
      </c>
      <c r="S265" s="13" t="s">
        <v>919</v>
      </c>
      <c r="T265" s="13" t="s">
        <v>16</v>
      </c>
      <c r="U265" s="17">
        <f t="shared" si="9"/>
        <v>0</v>
      </c>
    </row>
    <row r="266" spans="1:21" x14ac:dyDescent="0.3">
      <c r="A266" s="13">
        <v>113</v>
      </c>
      <c r="B266" s="13" t="str">
        <f>+VLOOKUP(A266,'[1]PA 2023'!$A$8:$E$84,5)</f>
        <v>Formular e implementar 1 política pública para habitante de calle.</v>
      </c>
      <c r="C266" s="14">
        <v>2020680010050</v>
      </c>
      <c r="D266" s="14" t="str">
        <f>+VLOOKUP(C266,'[1]PA 2023'!$G$8:$H$84,2,FALSE)</f>
        <v>DESARROLLO DE ACCIONES ENCAMINADAS A GENERAR ATENCIÓN INTEGRAL HACIA LA POBLACIÓN HABITANTES EN SITUACIÓN DE CALLE DEL MUNICIPIO DE BUCARAMANGA</v>
      </c>
      <c r="E266" s="13" t="s">
        <v>920</v>
      </c>
      <c r="F266" s="15">
        <v>1605</v>
      </c>
      <c r="G266" s="21" t="s">
        <v>43</v>
      </c>
      <c r="H266" s="21" t="s">
        <v>36</v>
      </c>
      <c r="I266" s="13" t="s">
        <v>921</v>
      </c>
      <c r="J266" s="13" t="s">
        <v>768</v>
      </c>
      <c r="K266" s="16">
        <v>44979</v>
      </c>
      <c r="L266" s="17">
        <v>9333333.3300000001</v>
      </c>
      <c r="M266" s="17">
        <v>9333333.3300000001</v>
      </c>
      <c r="N266" s="18">
        <f>3640000+2800000+2800000</f>
        <v>9240000</v>
      </c>
      <c r="O266" s="22" t="s">
        <v>922</v>
      </c>
      <c r="Q266" s="13">
        <v>2782</v>
      </c>
      <c r="R266" s="13" t="s">
        <v>770</v>
      </c>
      <c r="S266" s="13" t="s">
        <v>923</v>
      </c>
      <c r="T266" s="13" t="s">
        <v>16</v>
      </c>
      <c r="U266" s="17">
        <f t="shared" si="9"/>
        <v>93333.330000000075</v>
      </c>
    </row>
    <row r="267" spans="1:21" x14ac:dyDescent="0.3">
      <c r="A267" s="13">
        <v>96</v>
      </c>
      <c r="B267" s="13" t="str">
        <f>+VLOOKUP(A267,'[1]PA 2023'!$A$8:$E$84,5)</f>
        <v>Formular e implementar 1 estrategia que promueva la democratización familiar apoyada en el componente de bienestar comunitario del programa Familias en Acción con impacto en barrios priorizados por NBI.</v>
      </c>
      <c r="C267" s="14">
        <v>2020680010072</v>
      </c>
      <c r="D267" s="14" t="str">
        <f>+VLOOKUP(C267,'[1]PA 2023'!$G$8:$H$84,2,FALSE)</f>
        <v>APOYO A LA OPERATIVIDAD DEL PROGRAMA NACIONAL MÁS FAMILIAS EN ACCIÓN EN EL MUNICIPIO DE BUCARAMANGA</v>
      </c>
      <c r="E267" s="13" t="s">
        <v>924</v>
      </c>
      <c r="F267" s="15">
        <v>1614</v>
      </c>
      <c r="G267" s="21" t="s">
        <v>43</v>
      </c>
      <c r="H267" s="21" t="s">
        <v>36</v>
      </c>
      <c r="I267" s="13" t="s">
        <v>925</v>
      </c>
      <c r="J267" s="13" t="s">
        <v>472</v>
      </c>
      <c r="K267" s="16">
        <v>44979</v>
      </c>
      <c r="L267" s="17">
        <v>10000000</v>
      </c>
      <c r="M267" s="17">
        <v>10000000</v>
      </c>
      <c r="N267" s="18">
        <f>3900000+3000000+3000000</f>
        <v>9900000</v>
      </c>
      <c r="O267" s="22" t="s">
        <v>926</v>
      </c>
      <c r="Q267" s="13">
        <v>2783</v>
      </c>
      <c r="R267" s="13" t="s">
        <v>473</v>
      </c>
      <c r="S267" s="13" t="s">
        <v>927</v>
      </c>
      <c r="T267" s="13" t="s">
        <v>16</v>
      </c>
      <c r="U267" s="17">
        <f t="shared" si="9"/>
        <v>100000</v>
      </c>
    </row>
    <row r="268" spans="1:21" x14ac:dyDescent="0.3">
      <c r="A268" s="13">
        <v>98</v>
      </c>
      <c r="B268" s="13" t="str">
        <f>+VLOOKUP(A268,'[1]PA 2023'!$A$8:$E$84,5)</f>
        <v>Mantener el 100% del apoyo logístico a las familias beneficiadas del programa Familias en Acción.</v>
      </c>
      <c r="C268" s="14">
        <v>2020680010072</v>
      </c>
      <c r="D268" s="14" t="str">
        <f>+VLOOKUP(C268,'[1]PA 2023'!$G$8:$H$84,2,FALSE)</f>
        <v>APOYO A LA OPERATIVIDAD DEL PROGRAMA NACIONAL MÁS FAMILIAS EN ACCIÓN EN EL MUNICIPIO DE BUCARAMANGA</v>
      </c>
      <c r="E268" s="13" t="s">
        <v>928</v>
      </c>
      <c r="F268" s="15">
        <v>1608</v>
      </c>
      <c r="G268" s="21" t="s">
        <v>35</v>
      </c>
      <c r="H268" s="21" t="s">
        <v>36</v>
      </c>
      <c r="I268" s="13" t="s">
        <v>929</v>
      </c>
      <c r="J268" s="13" t="s">
        <v>472</v>
      </c>
      <c r="K268" s="16">
        <v>44979</v>
      </c>
      <c r="L268" s="17">
        <v>6666666.6699999999</v>
      </c>
      <c r="M268" s="17">
        <v>6666666.6699999999</v>
      </c>
      <c r="N268" s="18">
        <f>2600000+2000000+2000000</f>
        <v>6600000</v>
      </c>
      <c r="O268" s="22" t="s">
        <v>930</v>
      </c>
      <c r="Q268" s="13">
        <v>2784</v>
      </c>
      <c r="R268" s="13" t="s">
        <v>473</v>
      </c>
      <c r="S268" s="13" t="s">
        <v>931</v>
      </c>
      <c r="T268" s="13" t="s">
        <v>16</v>
      </c>
      <c r="U268" s="17">
        <f t="shared" si="9"/>
        <v>66666.669999999925</v>
      </c>
    </row>
    <row r="269" spans="1:21" x14ac:dyDescent="0.3">
      <c r="A269" s="13">
        <v>98</v>
      </c>
      <c r="B269" s="13" t="str">
        <f>+VLOOKUP(A269,'[1]PA 2023'!$A$8:$E$84,5)</f>
        <v>Mantener el 100% del apoyo logístico a las familias beneficiadas del programa Familias en Acción.</v>
      </c>
      <c r="C269" s="14">
        <v>2020680010072</v>
      </c>
      <c r="D269" s="14" t="str">
        <f>+VLOOKUP(C269,'[1]PA 2023'!$G$8:$H$84,2,FALSE)</f>
        <v>APOYO A LA OPERATIVIDAD DEL PROGRAMA NACIONAL MÁS FAMILIAS EN ACCIÓN EN EL MUNICIPIO DE BUCARAMANGA</v>
      </c>
      <c r="E269" s="13" t="s">
        <v>723</v>
      </c>
      <c r="F269" s="15">
        <v>1590</v>
      </c>
      <c r="G269" s="22" t="s">
        <v>35</v>
      </c>
      <c r="H269" s="21" t="s">
        <v>36</v>
      </c>
      <c r="I269" s="13" t="s">
        <v>932</v>
      </c>
      <c r="J269" s="13" t="s">
        <v>472</v>
      </c>
      <c r="K269" s="16">
        <v>44979</v>
      </c>
      <c r="L269" s="17">
        <v>6666666.6699999999</v>
      </c>
      <c r="M269" s="17">
        <v>6666666.6699999999</v>
      </c>
      <c r="N269" s="18">
        <f>2600000+2000000+2000000</f>
        <v>6600000</v>
      </c>
      <c r="O269" s="22" t="s">
        <v>933</v>
      </c>
      <c r="Q269" s="13">
        <v>2786</v>
      </c>
      <c r="R269" s="13" t="s">
        <v>473</v>
      </c>
      <c r="S269" s="13" t="s">
        <v>934</v>
      </c>
      <c r="T269" s="13" t="s">
        <v>16</v>
      </c>
      <c r="U269" s="17">
        <f t="shared" si="9"/>
        <v>66666.669999999925</v>
      </c>
    </row>
    <row r="270" spans="1:21" x14ac:dyDescent="0.3">
      <c r="A270" s="13">
        <v>96</v>
      </c>
      <c r="B270" s="13" t="str">
        <f>+VLOOKUP(A270,'[1]PA 2023'!$A$8:$E$84,5)</f>
        <v>Formular e implementar 1 estrategia que promueva la democratización familiar apoyada en el componente de bienestar comunitario del programa Familias en Acción con impacto en barrios priorizados por NBI.</v>
      </c>
      <c r="C270" s="14">
        <v>2020680010072</v>
      </c>
      <c r="D270" s="14" t="str">
        <f>+VLOOKUP(C270,'[1]PA 2023'!$G$8:$H$84,2,FALSE)</f>
        <v>APOYO A LA OPERATIVIDAD DEL PROGRAMA NACIONAL MÁS FAMILIAS EN ACCIÓN EN EL MUNICIPIO DE BUCARAMANGA</v>
      </c>
      <c r="E270" s="13" t="s">
        <v>935</v>
      </c>
      <c r="F270" s="15">
        <v>1591</v>
      </c>
      <c r="G270" s="21" t="s">
        <v>43</v>
      </c>
      <c r="H270" s="21" t="s">
        <v>36</v>
      </c>
      <c r="I270" s="13" t="s">
        <v>936</v>
      </c>
      <c r="J270" s="13" t="s">
        <v>472</v>
      </c>
      <c r="K270" s="16">
        <v>44979</v>
      </c>
      <c r="L270" s="17">
        <v>10000000</v>
      </c>
      <c r="M270" s="17">
        <v>10000000</v>
      </c>
      <c r="N270" s="18">
        <f>3900000+3000000+3000000</f>
        <v>9900000</v>
      </c>
      <c r="O270" s="22" t="s">
        <v>937</v>
      </c>
      <c r="Q270" s="13">
        <v>2787</v>
      </c>
      <c r="R270" s="13" t="s">
        <v>473</v>
      </c>
      <c r="S270" s="13" t="s">
        <v>938</v>
      </c>
      <c r="T270" s="13" t="s">
        <v>16</v>
      </c>
      <c r="U270" s="17">
        <f t="shared" si="9"/>
        <v>100000</v>
      </c>
    </row>
    <row r="271" spans="1:21" x14ac:dyDescent="0.3">
      <c r="A271" s="13">
        <v>285</v>
      </c>
      <c r="B271" s="13" t="str">
        <f>+VLOOKUP(A271,'[1]PA 2023'!$A$8:$E$84,5)</f>
        <v>Mantener en funcionamiento el 100% de los salones comunales que hacen parte del programa Ágoras.</v>
      </c>
      <c r="C271" s="14">
        <v>2022680010029</v>
      </c>
      <c r="D271" s="14" t="str">
        <f>+VLOOKUP(C271,'[1]PA 2023'!$G$8:$H$84,2,FALSE)</f>
        <v>FORTALECIMIENTO DE LA PARTICIPACIÓN CIUDADANA EN EL MUNICIPIO DE BUCARAMANGA</v>
      </c>
      <c r="E271" s="13" t="s">
        <v>637</v>
      </c>
      <c r="F271" s="15">
        <v>1586</v>
      </c>
      <c r="G271" s="21" t="s">
        <v>35</v>
      </c>
      <c r="H271" s="21" t="s">
        <v>36</v>
      </c>
      <c r="I271" s="13" t="s">
        <v>939</v>
      </c>
      <c r="J271" s="13" t="s">
        <v>468</v>
      </c>
      <c r="K271" s="16">
        <v>44979</v>
      </c>
      <c r="L271" s="17">
        <v>5700000</v>
      </c>
      <c r="M271" s="17">
        <v>5700000</v>
      </c>
      <c r="N271" s="18">
        <f>2340000+1800000+1560000</f>
        <v>5700000</v>
      </c>
      <c r="O271" s="22" t="s">
        <v>940</v>
      </c>
      <c r="Q271" s="13">
        <v>2788</v>
      </c>
      <c r="R271" s="13" t="s">
        <v>134</v>
      </c>
      <c r="S271" s="13" t="s">
        <v>941</v>
      </c>
      <c r="T271" s="13" t="s">
        <v>16</v>
      </c>
      <c r="U271" s="17">
        <f t="shared" si="9"/>
        <v>0</v>
      </c>
    </row>
    <row r="272" spans="1:21" x14ac:dyDescent="0.3">
      <c r="A272" s="13">
        <v>93</v>
      </c>
      <c r="B272" s="13" t="str">
        <f>+VLOOKUP(A272,'[1]PA 2023'!$A$8:$E$84,5)</f>
        <v>Mantener en funcionamiento los 3 Centros Vida con la prestacion de servicios integrales y/o dotacion de los mismos cumpliendo con la oferta institucional.</v>
      </c>
      <c r="C272" s="14">
        <v>2020680010040</v>
      </c>
      <c r="D272" s="14" t="str">
        <f>+VLOOKUP(C272,'[1]PA 2023'!$G$8:$H$84,2,FALSE)</f>
        <v>IMPLEMENTACIÓN DE ACCIONES TENDIENTES A MEJORAR LAS CONDICIONES DE LOS ADULTOS MAYORES DEL MUNICIPIO DE BUCARAMANGA</v>
      </c>
      <c r="E272" s="13" t="s">
        <v>942</v>
      </c>
      <c r="F272" s="15">
        <v>1595</v>
      </c>
      <c r="G272" s="21" t="s">
        <v>43</v>
      </c>
      <c r="H272" s="21" t="s">
        <v>36</v>
      </c>
      <c r="I272" s="13" t="s">
        <v>943</v>
      </c>
      <c r="J272" s="13" t="s">
        <v>574</v>
      </c>
      <c r="K272" s="16">
        <v>44979</v>
      </c>
      <c r="L272" s="17">
        <v>10000000</v>
      </c>
      <c r="M272" s="17">
        <v>10000000</v>
      </c>
      <c r="N272" s="18">
        <f>3900000+3000000+3000000</f>
        <v>9900000</v>
      </c>
      <c r="O272" s="22" t="s">
        <v>944</v>
      </c>
      <c r="Q272" s="13">
        <v>2807</v>
      </c>
      <c r="R272" s="13" t="s">
        <v>26</v>
      </c>
      <c r="S272" s="13" t="s">
        <v>945</v>
      </c>
      <c r="T272" s="13" t="s">
        <v>16</v>
      </c>
      <c r="U272" s="17">
        <f t="shared" si="9"/>
        <v>100000</v>
      </c>
    </row>
    <row r="273" spans="1:21" x14ac:dyDescent="0.3">
      <c r="A273" s="13">
        <v>67</v>
      </c>
      <c r="B273" s="13" t="str">
        <f>+VLOOKUP(A273,'[1]PA 2023'!$A$8:$E$84,5)</f>
        <v>Formular e implementar 1 estrategia para el fortalecimiento de padres/madres y/o cuidadores en pautas de crianza y vínculos afectivos tanto en el ámbito familiar como comunitario que permita disminuir las violencias en primera infancia.</v>
      </c>
      <c r="C273" s="14">
        <v>2021680010003</v>
      </c>
      <c r="D273" s="14" t="str">
        <f>+VLOOKUP(C273,'[1]PA 2023'!$G$8:$H$84,2,FALSE)</f>
        <v>IMPLEMENTACIÓN DE ESTRATEGIAS PSICOPEDAGÓGICAS PARA LA DISMINUCIÓN DE FACTORES DE RIESGO EN NIÑOS, NIÑAS Y ADOLESCENTES EN EL MUNICIPIO DE BUCARAMANGA</v>
      </c>
      <c r="E273" s="13" t="s">
        <v>946</v>
      </c>
      <c r="F273" s="15">
        <v>1607</v>
      </c>
      <c r="G273" s="21" t="s">
        <v>43</v>
      </c>
      <c r="H273" s="21" t="s">
        <v>36</v>
      </c>
      <c r="I273" s="13" t="s">
        <v>947</v>
      </c>
      <c r="J273" s="13" t="s">
        <v>212</v>
      </c>
      <c r="K273" s="16">
        <v>44979</v>
      </c>
      <c r="L273" s="17">
        <v>9500000</v>
      </c>
      <c r="M273" s="17">
        <v>9500000</v>
      </c>
      <c r="N273" s="18">
        <f>3000000+900000+3000000+2600000</f>
        <v>9500000</v>
      </c>
      <c r="O273" s="22" t="s">
        <v>948</v>
      </c>
      <c r="Q273" s="13">
        <v>2808</v>
      </c>
      <c r="R273" s="13" t="s">
        <v>164</v>
      </c>
      <c r="S273" s="13" t="s">
        <v>949</v>
      </c>
      <c r="T273" s="13" t="s">
        <v>16</v>
      </c>
      <c r="U273" s="17">
        <f t="shared" si="9"/>
        <v>0</v>
      </c>
    </row>
    <row r="274" spans="1:21" x14ac:dyDescent="0.3">
      <c r="A274" s="13">
        <v>67</v>
      </c>
      <c r="B274" s="13" t="str">
        <f>+VLOOKUP(A274,'[1]PA 2023'!$A$8:$E$84,5)</f>
        <v>Formular e implementar 1 estrategia para el fortalecimiento de padres/madres y/o cuidadores en pautas de crianza y vínculos afectivos tanto en el ámbito familiar como comunitario que permita disminuir las violencias en primera infancia.</v>
      </c>
      <c r="C274" s="14">
        <v>2021680010003</v>
      </c>
      <c r="D274" s="14" t="str">
        <f>+VLOOKUP(C274,'[1]PA 2023'!$G$8:$H$84,2,FALSE)</f>
        <v>IMPLEMENTACIÓN DE ESTRATEGIAS PSICOPEDAGÓGICAS PARA LA DISMINUCIÓN DE FACTORES DE RIESGO EN NIÑOS, NIÑAS Y ADOLESCENTES EN EL MUNICIPIO DE BUCARAMANGA</v>
      </c>
      <c r="E274" s="13" t="s">
        <v>950</v>
      </c>
      <c r="F274" s="15">
        <v>1623</v>
      </c>
      <c r="G274" s="21" t="s">
        <v>43</v>
      </c>
      <c r="H274" s="21" t="s">
        <v>36</v>
      </c>
      <c r="I274" s="13" t="s">
        <v>951</v>
      </c>
      <c r="J274" s="13" t="s">
        <v>212</v>
      </c>
      <c r="K274" s="16">
        <v>44980</v>
      </c>
      <c r="L274" s="17">
        <v>10133333.33</v>
      </c>
      <c r="M274" s="17">
        <v>10133333.33</v>
      </c>
      <c r="N274" s="18">
        <f>4053333.33+3200000+2880000</f>
        <v>10133333.33</v>
      </c>
      <c r="O274" s="22" t="s">
        <v>952</v>
      </c>
      <c r="Q274" s="13">
        <v>2838</v>
      </c>
      <c r="R274" s="13" t="s">
        <v>164</v>
      </c>
      <c r="S274" s="13" t="s">
        <v>953</v>
      </c>
      <c r="T274" s="13" t="s">
        <v>16</v>
      </c>
      <c r="U274" s="17">
        <f t="shared" si="9"/>
        <v>0</v>
      </c>
    </row>
    <row r="275" spans="1:21" x14ac:dyDescent="0.3">
      <c r="A275" s="13">
        <v>286</v>
      </c>
      <c r="B275" s="13" t="str">
        <f>+VLOOKUP(A275,'[1]PA 2023'!$A$8:$E$84,5)</f>
        <v>Mantener el beneficio al 100% de los ediles con pago de EPS, ARL, póliza de vida y dotación.</v>
      </c>
      <c r="C275" s="14">
        <v>2022680010029</v>
      </c>
      <c r="D275" s="14" t="str">
        <f>+VLOOKUP(C275,'[1]PA 2023'!$G$8:$H$84,2,FALSE)</f>
        <v>FORTALECIMIENTO DE LA PARTICIPACIÓN CIUDADANA EN EL MUNICIPIO DE BUCARAMANGA</v>
      </c>
      <c r="E275" s="13" t="s">
        <v>954</v>
      </c>
      <c r="F275" s="15" t="s">
        <v>22</v>
      </c>
      <c r="G275" s="22" t="s">
        <v>23</v>
      </c>
      <c r="H275" s="21" t="s">
        <v>23</v>
      </c>
      <c r="I275" s="13" t="s">
        <v>153</v>
      </c>
      <c r="J275" s="13" t="s">
        <v>133</v>
      </c>
      <c r="K275" s="16">
        <v>44980</v>
      </c>
      <c r="L275" s="17">
        <v>2508500</v>
      </c>
      <c r="M275" s="17">
        <v>2508500</v>
      </c>
      <c r="N275" s="18">
        <v>2508500</v>
      </c>
      <c r="O275" s="15" t="s">
        <v>23</v>
      </c>
      <c r="Q275" s="13">
        <v>2839</v>
      </c>
      <c r="R275" s="13" t="s">
        <v>134</v>
      </c>
      <c r="S275" s="13" t="s">
        <v>154</v>
      </c>
      <c r="T275" s="13" t="s">
        <v>16</v>
      </c>
      <c r="U275" s="17">
        <f t="shared" ref="U275:U287" si="10">+M275-N275</f>
        <v>0</v>
      </c>
    </row>
    <row r="276" spans="1:21" x14ac:dyDescent="0.3">
      <c r="A276" s="13">
        <v>286</v>
      </c>
      <c r="B276" s="13" t="str">
        <f>+VLOOKUP(A276,'[1]PA 2023'!$A$8:$E$84,5)</f>
        <v>Mantener el beneficio al 100% de los ediles con pago de EPS, ARL, póliza de vida y dotación.</v>
      </c>
      <c r="C276" s="14">
        <v>2022680010029</v>
      </c>
      <c r="D276" s="14" t="str">
        <f>+VLOOKUP(C276,'[1]PA 2023'!$G$8:$H$84,2,FALSE)</f>
        <v>FORTALECIMIENTO DE LA PARTICIPACIÓN CIUDADANA EN EL MUNICIPIO DE BUCARAMANGA</v>
      </c>
      <c r="E276" s="13" t="s">
        <v>954</v>
      </c>
      <c r="F276" s="15" t="s">
        <v>22</v>
      </c>
      <c r="G276" s="22" t="s">
        <v>23</v>
      </c>
      <c r="H276" s="21" t="s">
        <v>23</v>
      </c>
      <c r="I276" s="13" t="s">
        <v>151</v>
      </c>
      <c r="J276" s="13" t="s">
        <v>133</v>
      </c>
      <c r="K276" s="16">
        <v>44980</v>
      </c>
      <c r="L276" s="17">
        <v>3335000</v>
      </c>
      <c r="M276" s="17">
        <v>3335000</v>
      </c>
      <c r="N276" s="18">
        <v>3335000</v>
      </c>
      <c r="O276" s="15" t="s">
        <v>23</v>
      </c>
      <c r="Q276" s="13">
        <v>2840</v>
      </c>
      <c r="R276" s="13" t="s">
        <v>134</v>
      </c>
      <c r="S276" s="13" t="s">
        <v>152</v>
      </c>
      <c r="T276" s="13" t="s">
        <v>16</v>
      </c>
      <c r="U276" s="17">
        <f t="shared" si="10"/>
        <v>0</v>
      </c>
    </row>
    <row r="277" spans="1:21" x14ac:dyDescent="0.3">
      <c r="A277" s="13">
        <v>286</v>
      </c>
      <c r="B277" s="13" t="str">
        <f>+VLOOKUP(A277,'[1]PA 2023'!$A$8:$E$84,5)</f>
        <v>Mantener el beneficio al 100% de los ediles con pago de EPS, ARL, póliza de vida y dotación.</v>
      </c>
      <c r="C277" s="14">
        <v>2022680010029</v>
      </c>
      <c r="D277" s="14" t="str">
        <f>+VLOOKUP(C277,'[1]PA 2023'!$G$8:$H$84,2,FALSE)</f>
        <v>FORTALECIMIENTO DE LA PARTICIPACIÓN CIUDADANA EN EL MUNICIPIO DE BUCARAMANGA</v>
      </c>
      <c r="E277" s="13" t="s">
        <v>954</v>
      </c>
      <c r="F277" s="15" t="s">
        <v>22</v>
      </c>
      <c r="G277" s="22" t="s">
        <v>23</v>
      </c>
      <c r="H277" s="21" t="s">
        <v>23</v>
      </c>
      <c r="I277" s="13" t="s">
        <v>149</v>
      </c>
      <c r="J277" s="13" t="s">
        <v>133</v>
      </c>
      <c r="K277" s="16">
        <v>44980</v>
      </c>
      <c r="L277" s="17">
        <v>870000</v>
      </c>
      <c r="M277" s="17">
        <v>870000</v>
      </c>
      <c r="N277" s="18">
        <v>870000</v>
      </c>
      <c r="O277" s="15" t="s">
        <v>23</v>
      </c>
      <c r="Q277" s="13">
        <v>2841</v>
      </c>
      <c r="R277" s="13" t="s">
        <v>134</v>
      </c>
      <c r="S277" s="13" t="s">
        <v>150</v>
      </c>
      <c r="T277" s="13" t="s">
        <v>16</v>
      </c>
      <c r="U277" s="17">
        <f t="shared" si="10"/>
        <v>0</v>
      </c>
    </row>
    <row r="278" spans="1:21" x14ac:dyDescent="0.3">
      <c r="A278" s="13">
        <v>286</v>
      </c>
      <c r="B278" s="13" t="str">
        <f>+VLOOKUP(A278,'[1]PA 2023'!$A$8:$E$84,5)</f>
        <v>Mantener el beneficio al 100% de los ediles con pago de EPS, ARL, póliza de vida y dotación.</v>
      </c>
      <c r="C278" s="14">
        <v>2022680010029</v>
      </c>
      <c r="D278" s="14" t="str">
        <f>+VLOOKUP(C278,'[1]PA 2023'!$G$8:$H$84,2,FALSE)</f>
        <v>FORTALECIMIENTO DE LA PARTICIPACIÓN CIUDADANA EN EL MUNICIPIO DE BUCARAMANGA</v>
      </c>
      <c r="E278" s="13" t="s">
        <v>954</v>
      </c>
      <c r="F278" s="15" t="s">
        <v>22</v>
      </c>
      <c r="G278" s="22" t="s">
        <v>23</v>
      </c>
      <c r="H278" s="21" t="s">
        <v>23</v>
      </c>
      <c r="I278" s="13" t="s">
        <v>147</v>
      </c>
      <c r="J278" s="13" t="s">
        <v>133</v>
      </c>
      <c r="K278" s="16">
        <v>44980</v>
      </c>
      <c r="L278" s="17">
        <v>188500</v>
      </c>
      <c r="M278" s="17">
        <v>188500</v>
      </c>
      <c r="N278" s="18">
        <v>188500</v>
      </c>
      <c r="O278" s="15" t="s">
        <v>23</v>
      </c>
      <c r="Q278" s="13">
        <v>2842</v>
      </c>
      <c r="R278" s="13" t="s">
        <v>134</v>
      </c>
      <c r="S278" s="13" t="s">
        <v>148</v>
      </c>
      <c r="T278" s="13" t="s">
        <v>16</v>
      </c>
      <c r="U278" s="17">
        <f t="shared" si="10"/>
        <v>0</v>
      </c>
    </row>
    <row r="279" spans="1:21" x14ac:dyDescent="0.3">
      <c r="A279" s="13">
        <v>286</v>
      </c>
      <c r="B279" s="13" t="str">
        <f>+VLOOKUP(A279,'[1]PA 2023'!$A$8:$E$84,5)</f>
        <v>Mantener el beneficio al 100% de los ediles con pago de EPS, ARL, póliza de vida y dotación.</v>
      </c>
      <c r="C279" s="14">
        <v>2022680010029</v>
      </c>
      <c r="D279" s="14" t="str">
        <f>+VLOOKUP(C279,'[1]PA 2023'!$G$8:$H$84,2,FALSE)</f>
        <v>FORTALECIMIENTO DE LA PARTICIPACIÓN CIUDADANA EN EL MUNICIPIO DE BUCARAMANGA</v>
      </c>
      <c r="E279" s="13" t="s">
        <v>954</v>
      </c>
      <c r="F279" s="15" t="s">
        <v>22</v>
      </c>
      <c r="G279" s="22" t="s">
        <v>23</v>
      </c>
      <c r="H279" s="21" t="s">
        <v>23</v>
      </c>
      <c r="I279" s="13" t="s">
        <v>147</v>
      </c>
      <c r="J279" s="13" t="s">
        <v>133</v>
      </c>
      <c r="K279" s="16">
        <v>44980</v>
      </c>
      <c r="L279" s="17">
        <v>4495000</v>
      </c>
      <c r="M279" s="17">
        <v>4495000</v>
      </c>
      <c r="N279" s="18">
        <v>4495000</v>
      </c>
      <c r="O279" s="15" t="s">
        <v>23</v>
      </c>
      <c r="Q279" s="13">
        <v>2843</v>
      </c>
      <c r="R279" s="13" t="s">
        <v>134</v>
      </c>
      <c r="S279" s="13" t="s">
        <v>148</v>
      </c>
      <c r="T279" s="13" t="s">
        <v>16</v>
      </c>
      <c r="U279" s="17">
        <f t="shared" si="10"/>
        <v>0</v>
      </c>
    </row>
    <row r="280" spans="1:21" x14ac:dyDescent="0.3">
      <c r="A280" s="13">
        <v>286</v>
      </c>
      <c r="B280" s="13" t="str">
        <f>+VLOOKUP(A280,'[1]PA 2023'!$A$8:$E$84,5)</f>
        <v>Mantener el beneficio al 100% de los ediles con pago de EPS, ARL, póliza de vida y dotación.</v>
      </c>
      <c r="C280" s="14">
        <v>2022680010029</v>
      </c>
      <c r="D280" s="14" t="str">
        <f>+VLOOKUP(C280,'[1]PA 2023'!$G$8:$H$84,2,FALSE)</f>
        <v>FORTALECIMIENTO DE LA PARTICIPACIÓN CIUDADANA EN EL MUNICIPIO DE BUCARAMANGA</v>
      </c>
      <c r="E280" s="13" t="s">
        <v>954</v>
      </c>
      <c r="F280" s="15" t="s">
        <v>22</v>
      </c>
      <c r="G280" s="22" t="s">
        <v>23</v>
      </c>
      <c r="H280" s="21" t="s">
        <v>23</v>
      </c>
      <c r="I280" s="13" t="s">
        <v>145</v>
      </c>
      <c r="J280" s="13" t="s">
        <v>133</v>
      </c>
      <c r="K280" s="16">
        <v>44980</v>
      </c>
      <c r="L280" s="17">
        <v>580000</v>
      </c>
      <c r="M280" s="17">
        <v>580000</v>
      </c>
      <c r="N280" s="18">
        <v>580000</v>
      </c>
      <c r="O280" s="15" t="s">
        <v>23</v>
      </c>
      <c r="Q280" s="13">
        <v>2844</v>
      </c>
      <c r="R280" s="13" t="s">
        <v>134</v>
      </c>
      <c r="S280" s="13" t="s">
        <v>146</v>
      </c>
      <c r="T280" s="13" t="s">
        <v>16</v>
      </c>
      <c r="U280" s="17">
        <f t="shared" si="10"/>
        <v>0</v>
      </c>
    </row>
    <row r="281" spans="1:21" x14ac:dyDescent="0.3">
      <c r="A281" s="13">
        <v>286</v>
      </c>
      <c r="B281" s="13" t="str">
        <f>+VLOOKUP(A281,'[1]PA 2023'!$A$8:$E$84,5)</f>
        <v>Mantener el beneficio al 100% de los ediles con pago de EPS, ARL, póliza de vida y dotación.</v>
      </c>
      <c r="C281" s="14">
        <v>2022680010029</v>
      </c>
      <c r="D281" s="14" t="str">
        <f>+VLOOKUP(C281,'[1]PA 2023'!$G$8:$H$84,2,FALSE)</f>
        <v>FORTALECIMIENTO DE LA PARTICIPACIÓN CIUDADANA EN EL MUNICIPIO DE BUCARAMANGA</v>
      </c>
      <c r="E281" s="13" t="s">
        <v>954</v>
      </c>
      <c r="F281" s="15" t="s">
        <v>22</v>
      </c>
      <c r="G281" s="22" t="s">
        <v>23</v>
      </c>
      <c r="H281" s="21" t="s">
        <v>23</v>
      </c>
      <c r="I281" s="13" t="s">
        <v>143</v>
      </c>
      <c r="J281" s="13" t="s">
        <v>133</v>
      </c>
      <c r="K281" s="16">
        <v>44980</v>
      </c>
      <c r="L281" s="17">
        <v>1015000</v>
      </c>
      <c r="M281" s="17">
        <v>1015000</v>
      </c>
      <c r="N281" s="18">
        <v>1015000</v>
      </c>
      <c r="O281" s="15" t="s">
        <v>23</v>
      </c>
      <c r="Q281" s="13">
        <v>2845</v>
      </c>
      <c r="R281" s="13" t="s">
        <v>134</v>
      </c>
      <c r="S281" s="13" t="s">
        <v>144</v>
      </c>
      <c r="T281" s="13" t="s">
        <v>16</v>
      </c>
      <c r="U281" s="17">
        <f t="shared" si="10"/>
        <v>0</v>
      </c>
    </row>
    <row r="282" spans="1:21" x14ac:dyDescent="0.3">
      <c r="A282" s="13">
        <v>286</v>
      </c>
      <c r="B282" s="13" t="str">
        <f>+VLOOKUP(A282,'[1]PA 2023'!$A$8:$E$84,5)</f>
        <v>Mantener el beneficio al 100% de los ediles con pago de EPS, ARL, póliza de vida y dotación.</v>
      </c>
      <c r="C282" s="14">
        <v>2022680010029</v>
      </c>
      <c r="D282" s="14" t="str">
        <f>+VLOOKUP(C282,'[1]PA 2023'!$G$8:$H$84,2,FALSE)</f>
        <v>FORTALECIMIENTO DE LA PARTICIPACIÓN CIUDADANA EN EL MUNICIPIO DE BUCARAMANGA</v>
      </c>
      <c r="E282" s="13" t="s">
        <v>954</v>
      </c>
      <c r="F282" s="15" t="s">
        <v>22</v>
      </c>
      <c r="G282" s="22" t="s">
        <v>23</v>
      </c>
      <c r="H282" s="21" t="s">
        <v>23</v>
      </c>
      <c r="I282" s="13" t="s">
        <v>141</v>
      </c>
      <c r="J282" s="13" t="s">
        <v>133</v>
      </c>
      <c r="K282" s="16">
        <v>44980</v>
      </c>
      <c r="L282" s="17">
        <v>1740000</v>
      </c>
      <c r="M282" s="17">
        <v>1740000</v>
      </c>
      <c r="N282" s="18">
        <v>1740000</v>
      </c>
      <c r="O282" s="15" t="s">
        <v>23</v>
      </c>
      <c r="Q282" s="13">
        <v>2846</v>
      </c>
      <c r="R282" s="13" t="s">
        <v>134</v>
      </c>
      <c r="S282" s="13" t="s">
        <v>142</v>
      </c>
      <c r="T282" s="13" t="s">
        <v>16</v>
      </c>
      <c r="U282" s="17">
        <f t="shared" si="10"/>
        <v>0</v>
      </c>
    </row>
    <row r="283" spans="1:21" x14ac:dyDescent="0.3">
      <c r="A283" s="13">
        <v>286</v>
      </c>
      <c r="B283" s="13" t="str">
        <f>+VLOOKUP(A283,'[1]PA 2023'!$A$8:$E$84,5)</f>
        <v>Mantener el beneficio al 100% de los ediles con pago de EPS, ARL, póliza de vida y dotación.</v>
      </c>
      <c r="C283" s="14">
        <v>2022680010029</v>
      </c>
      <c r="D283" s="14" t="str">
        <f>+VLOOKUP(C283,'[1]PA 2023'!$G$8:$H$84,2,FALSE)</f>
        <v>FORTALECIMIENTO DE LA PARTICIPACIÓN CIUDADANA EN EL MUNICIPIO DE BUCARAMANGA</v>
      </c>
      <c r="E283" s="13" t="s">
        <v>954</v>
      </c>
      <c r="F283" s="15" t="s">
        <v>22</v>
      </c>
      <c r="G283" s="22" t="s">
        <v>23</v>
      </c>
      <c r="H283" s="21" t="s">
        <v>23</v>
      </c>
      <c r="I283" s="13" t="s">
        <v>139</v>
      </c>
      <c r="J283" s="13" t="s">
        <v>133</v>
      </c>
      <c r="K283" s="16">
        <v>44980</v>
      </c>
      <c r="L283" s="17">
        <v>435000</v>
      </c>
      <c r="M283" s="17">
        <v>435000</v>
      </c>
      <c r="N283" s="18">
        <v>435000</v>
      </c>
      <c r="O283" s="15" t="s">
        <v>23</v>
      </c>
      <c r="Q283" s="13">
        <v>2847</v>
      </c>
      <c r="R283" s="13" t="s">
        <v>134</v>
      </c>
      <c r="S283" s="13" t="s">
        <v>140</v>
      </c>
      <c r="T283" s="13" t="s">
        <v>16</v>
      </c>
      <c r="U283" s="17">
        <f t="shared" si="10"/>
        <v>0</v>
      </c>
    </row>
    <row r="284" spans="1:21" x14ac:dyDescent="0.3">
      <c r="A284" s="13">
        <v>286</v>
      </c>
      <c r="B284" s="13" t="str">
        <f>+VLOOKUP(A284,'[1]PA 2023'!$A$8:$E$84,5)</f>
        <v>Mantener el beneficio al 100% de los ediles con pago de EPS, ARL, póliza de vida y dotación.</v>
      </c>
      <c r="C284" s="14">
        <v>2022680010029</v>
      </c>
      <c r="D284" s="14" t="str">
        <f>+VLOOKUP(C284,'[1]PA 2023'!$G$8:$H$84,2,FALSE)</f>
        <v>FORTALECIMIENTO DE LA PARTICIPACIÓN CIUDADANA EN EL MUNICIPIO DE BUCARAMANGA</v>
      </c>
      <c r="E284" s="13" t="s">
        <v>954</v>
      </c>
      <c r="F284" s="15" t="s">
        <v>22</v>
      </c>
      <c r="G284" s="22" t="s">
        <v>23</v>
      </c>
      <c r="H284" s="21" t="s">
        <v>23</v>
      </c>
      <c r="I284" s="13" t="s">
        <v>139</v>
      </c>
      <c r="J284" s="13" t="s">
        <v>133</v>
      </c>
      <c r="K284" s="16">
        <v>44980</v>
      </c>
      <c r="L284" s="17">
        <v>870000</v>
      </c>
      <c r="M284" s="17">
        <v>870000</v>
      </c>
      <c r="N284" s="18">
        <v>870000</v>
      </c>
      <c r="O284" s="15" t="s">
        <v>23</v>
      </c>
      <c r="Q284" s="13">
        <v>2848</v>
      </c>
      <c r="R284" s="13" t="s">
        <v>134</v>
      </c>
      <c r="S284" s="13" t="s">
        <v>140</v>
      </c>
      <c r="T284" s="13" t="s">
        <v>16</v>
      </c>
      <c r="U284" s="17">
        <f t="shared" si="10"/>
        <v>0</v>
      </c>
    </row>
    <row r="285" spans="1:21" x14ac:dyDescent="0.3">
      <c r="A285" s="13">
        <v>286</v>
      </c>
      <c r="B285" s="13" t="str">
        <f>+VLOOKUP(A285,'[1]PA 2023'!$A$8:$E$84,5)</f>
        <v>Mantener el beneficio al 100% de los ediles con pago de EPS, ARL, póliza de vida y dotación.</v>
      </c>
      <c r="C285" s="14">
        <v>2022680010029</v>
      </c>
      <c r="D285" s="14" t="str">
        <f>+VLOOKUP(C285,'[1]PA 2023'!$G$8:$H$84,2,FALSE)</f>
        <v>FORTALECIMIENTO DE LA PARTICIPACIÓN CIUDADANA EN EL MUNICIPIO DE BUCARAMANGA</v>
      </c>
      <c r="E285" s="13" t="s">
        <v>954</v>
      </c>
      <c r="F285" s="15" t="s">
        <v>22</v>
      </c>
      <c r="G285" s="22" t="s">
        <v>23</v>
      </c>
      <c r="H285" s="21" t="s">
        <v>23</v>
      </c>
      <c r="I285" s="13" t="s">
        <v>137</v>
      </c>
      <c r="J285" s="13" t="s">
        <v>133</v>
      </c>
      <c r="K285" s="16">
        <v>44980</v>
      </c>
      <c r="L285" s="17">
        <v>725000</v>
      </c>
      <c r="M285" s="17">
        <v>725000</v>
      </c>
      <c r="N285" s="18">
        <v>725000</v>
      </c>
      <c r="O285" s="15" t="s">
        <v>23</v>
      </c>
      <c r="Q285" s="13">
        <v>2849</v>
      </c>
      <c r="R285" s="13" t="s">
        <v>134</v>
      </c>
      <c r="S285" s="13" t="s">
        <v>138</v>
      </c>
      <c r="T285" s="13" t="s">
        <v>16</v>
      </c>
      <c r="U285" s="17">
        <f t="shared" si="10"/>
        <v>0</v>
      </c>
    </row>
    <row r="286" spans="1:21" x14ac:dyDescent="0.3">
      <c r="A286" s="13">
        <v>286</v>
      </c>
      <c r="B286" s="13" t="str">
        <f>+VLOOKUP(A286,'[1]PA 2023'!$A$8:$E$84,5)</f>
        <v>Mantener el beneficio al 100% de los ediles con pago de EPS, ARL, póliza de vida y dotación.</v>
      </c>
      <c r="C286" s="14">
        <v>2022680010029</v>
      </c>
      <c r="D286" s="14" t="str">
        <f>+VLOOKUP(C286,'[1]PA 2023'!$G$8:$H$84,2,FALSE)</f>
        <v>FORTALECIMIENTO DE LA PARTICIPACIÓN CIUDADANA EN EL MUNICIPIO DE BUCARAMANGA</v>
      </c>
      <c r="E286" s="13" t="s">
        <v>955</v>
      </c>
      <c r="F286" s="15" t="s">
        <v>22</v>
      </c>
      <c r="G286" s="22" t="s">
        <v>23</v>
      </c>
      <c r="H286" s="21" t="s">
        <v>23</v>
      </c>
      <c r="I286" s="13" t="s">
        <v>132</v>
      </c>
      <c r="J286" s="13" t="s">
        <v>133</v>
      </c>
      <c r="K286" s="16">
        <v>44980</v>
      </c>
      <c r="L286" s="17">
        <v>705300</v>
      </c>
      <c r="M286" s="17">
        <v>705300</v>
      </c>
      <c r="N286" s="18">
        <v>705300</v>
      </c>
      <c r="O286" s="15" t="s">
        <v>23</v>
      </c>
      <c r="Q286" s="13">
        <v>2850</v>
      </c>
      <c r="R286" s="13" t="s">
        <v>134</v>
      </c>
      <c r="S286" s="13" t="s">
        <v>135</v>
      </c>
      <c r="T286" s="13" t="s">
        <v>16</v>
      </c>
      <c r="U286" s="17">
        <f t="shared" si="10"/>
        <v>0</v>
      </c>
    </row>
    <row r="287" spans="1:21" x14ac:dyDescent="0.3">
      <c r="A287" s="13">
        <v>105</v>
      </c>
      <c r="B287" s="13" t="str">
        <f>+VLOOKUP(A287,'[1]PA 2023'!$A$8:$E$84,5)</f>
        <v>Mantener el Centro Integral de la Mujer a fin de garantizar el fortalecimiento de los procesos de atención y empoderamiento femenino.</v>
      </c>
      <c r="C287" s="14">
        <v>2020680010106</v>
      </c>
      <c r="D287" s="14" t="str">
        <f>+VLOOKUP(C287,'[1]PA 2023'!$G$8:$H$84,2,FALSE)</f>
        <v>FORTALECIMIENTO DE ESPACIOS DE PARTICIPACIÓN Y PREVENCIÓN DE VIOLENCIAS EN MUJERES Y POBLACIÓN CON ORIENTACIONES SEXUALES E IDENTIDADES DE GÉNERO DIVERSAS DEL MUNICIPIO DE BUCARAMANGA</v>
      </c>
      <c r="E287" s="13" t="s">
        <v>956</v>
      </c>
      <c r="F287" s="15">
        <v>1629</v>
      </c>
      <c r="G287" s="21" t="s">
        <v>43</v>
      </c>
      <c r="H287" s="21" t="s">
        <v>36</v>
      </c>
      <c r="I287" s="13" t="s">
        <v>957</v>
      </c>
      <c r="J287" s="13" t="s">
        <v>378</v>
      </c>
      <c r="K287" s="16">
        <v>44980</v>
      </c>
      <c r="L287" s="17">
        <v>10450000</v>
      </c>
      <c r="M287" s="17">
        <v>10450000</v>
      </c>
      <c r="N287" s="18">
        <f>4180000+3300000+2970000</f>
        <v>10450000</v>
      </c>
      <c r="O287" s="22" t="s">
        <v>958</v>
      </c>
      <c r="Q287" s="13">
        <v>2851</v>
      </c>
      <c r="R287" s="13" t="s">
        <v>380</v>
      </c>
      <c r="S287" s="13" t="s">
        <v>959</v>
      </c>
      <c r="T287" s="13" t="s">
        <v>16</v>
      </c>
      <c r="U287" s="17">
        <f t="shared" si="10"/>
        <v>0</v>
      </c>
    </row>
    <row r="288" spans="1:21" x14ac:dyDescent="0.3">
      <c r="A288" s="13">
        <v>113</v>
      </c>
      <c r="B288" s="13" t="str">
        <f>+VLOOKUP(A288,'[1]PA 2023'!$A$8:$E$84,5)</f>
        <v>Formular e implementar 1 política pública para habitante de calle.</v>
      </c>
      <c r="C288" s="14">
        <v>2020680010050</v>
      </c>
      <c r="D288" s="14" t="str">
        <f>+VLOOKUP(C288,'[1]PA 2023'!$G$8:$H$84,2,FALSE)</f>
        <v>DESARROLLO DE ACCIONES ENCAMINADAS A GENERAR ATENCIÓN INTEGRAL HACIA LA POBLACIÓN HABITANTES EN SITUACIÓN DE CALLE DEL MUNICIPIO DE BUCARAMANGA</v>
      </c>
      <c r="E288" s="13" t="s">
        <v>960</v>
      </c>
      <c r="F288" s="15">
        <v>1628</v>
      </c>
      <c r="G288" s="21" t="s">
        <v>43</v>
      </c>
      <c r="H288" s="21" t="s">
        <v>36</v>
      </c>
      <c r="I288" s="13" t="s">
        <v>961</v>
      </c>
      <c r="J288" s="13" t="s">
        <v>768</v>
      </c>
      <c r="K288" s="16">
        <v>44980</v>
      </c>
      <c r="L288" s="17">
        <v>8866666.6699999999</v>
      </c>
      <c r="M288" s="17">
        <v>8866666.6699999999</v>
      </c>
      <c r="N288" s="18">
        <v>4666666.67</v>
      </c>
      <c r="O288" s="22" t="s">
        <v>962</v>
      </c>
      <c r="Q288" s="13">
        <v>2852</v>
      </c>
      <c r="R288" s="23" t="s">
        <v>770</v>
      </c>
      <c r="S288" s="13" t="s">
        <v>963</v>
      </c>
      <c r="T288" s="13" t="s">
        <v>16</v>
      </c>
      <c r="U288" s="17">
        <f>+M288-N288+M444</f>
        <v>7200000</v>
      </c>
    </row>
    <row r="289" spans="1:21" x14ac:dyDescent="0.3">
      <c r="A289" s="13">
        <v>117</v>
      </c>
      <c r="B289" s="13" t="str">
        <f>+VLOOKUP(A289,'[1]PA 2023'!$A$8:$E$84,5)</f>
        <v>Formular e implementar 1 estrategia de orientación ocupacional, aprovechamiento del tiempo libre, formación y esparcimiento cultural y actividades que mejoren la calidad de vida dirigidas a personas con discapacidad.</v>
      </c>
      <c r="C289" s="14">
        <v>2020680010121</v>
      </c>
      <c r="D289" s="14" t="str">
        <f>+VLOOKUP(C289,'[1]PA 2023'!$G$8:$H$84,2,FALSE)</f>
        <v>APOYO A LA OPERATIVIDAD DE LOS PROGRAMAS DE ATENCIÓN INTEGRAL A LAS PERSONAS CON DISCAPACIDAD. FAMILIARES Y/O CUIDADORES DEL MUNICIPIO DE BUCARAMANGA</v>
      </c>
      <c r="E289" s="13" t="s">
        <v>964</v>
      </c>
      <c r="F289" s="15">
        <v>1648</v>
      </c>
      <c r="G289" s="21" t="s">
        <v>35</v>
      </c>
      <c r="H289" s="21" t="s">
        <v>36</v>
      </c>
      <c r="I289" s="13" t="s">
        <v>965</v>
      </c>
      <c r="J289" s="13" t="s">
        <v>207</v>
      </c>
      <c r="K289" s="16">
        <v>44981</v>
      </c>
      <c r="L289" s="17">
        <v>9500000</v>
      </c>
      <c r="M289" s="17">
        <v>9500000</v>
      </c>
      <c r="N289" s="18">
        <f>3700000+3000000+2800000</f>
        <v>9500000</v>
      </c>
      <c r="O289" s="22" t="s">
        <v>966</v>
      </c>
      <c r="Q289" s="13">
        <v>2865</v>
      </c>
      <c r="R289" s="13" t="s">
        <v>193</v>
      </c>
      <c r="S289" s="13" t="s">
        <v>967</v>
      </c>
      <c r="T289" s="13" t="s">
        <v>16</v>
      </c>
      <c r="U289" s="17">
        <f t="shared" ref="U289:U335" si="11">+M289-N289</f>
        <v>0</v>
      </c>
    </row>
    <row r="290" spans="1:21" x14ac:dyDescent="0.3">
      <c r="A290" s="13">
        <v>285</v>
      </c>
      <c r="B290" s="13" t="str">
        <f>+VLOOKUP(A290,'[1]PA 2023'!$A$8:$E$84,5)</f>
        <v>Mantener en funcionamiento el 100% de los salones comunales que hacen parte del programa Ágoras.</v>
      </c>
      <c r="C290" s="14">
        <v>2022680010029</v>
      </c>
      <c r="D290" s="14" t="str">
        <f>+VLOOKUP(C290,'[1]PA 2023'!$G$8:$H$84,2,FALSE)</f>
        <v>FORTALECIMIENTO DE LA PARTICIPACIÓN CIUDADANA EN EL MUNICIPIO DE BUCARAMANGA</v>
      </c>
      <c r="E290" s="13" t="s">
        <v>968</v>
      </c>
      <c r="F290" s="15" t="s">
        <v>22</v>
      </c>
      <c r="G290" s="22" t="s">
        <v>23</v>
      </c>
      <c r="H290" s="21" t="s">
        <v>23</v>
      </c>
      <c r="I290" s="13" t="s">
        <v>260</v>
      </c>
      <c r="J290" s="13" t="s">
        <v>468</v>
      </c>
      <c r="K290" s="16">
        <v>44985</v>
      </c>
      <c r="L290" s="17">
        <v>160040</v>
      </c>
      <c r="M290" s="17">
        <v>160040</v>
      </c>
      <c r="N290" s="18">
        <v>160040</v>
      </c>
      <c r="O290" s="15" t="s">
        <v>23</v>
      </c>
      <c r="Q290" s="13">
        <v>3014</v>
      </c>
      <c r="R290" s="13" t="s">
        <v>134</v>
      </c>
      <c r="S290" s="13" t="s">
        <v>261</v>
      </c>
      <c r="T290" s="13" t="s">
        <v>16</v>
      </c>
      <c r="U290" s="17">
        <f t="shared" si="11"/>
        <v>0</v>
      </c>
    </row>
    <row r="291" spans="1:21" x14ac:dyDescent="0.3">
      <c r="A291" s="13">
        <v>78</v>
      </c>
      <c r="B291" s="13" t="str">
        <f>+VLOOKUP(A291,'[1]PA 2023'!$A$8:$E$84,5)</f>
        <v>Formular e implementar 1 ruta de atención integral para niños, niñas, adolescentes refugiados y migrantes y sus familias.</v>
      </c>
      <c r="C291" s="14">
        <v>2022680010056</v>
      </c>
      <c r="D291" s="14" t="str">
        <f>+VLOOKUP(C291,'[1]PA 2023'!$G$8:$H$84,2,FALSE)</f>
        <v>APOYO EN LOS PROCESOS DE ATENCIÓN INTEGRAL DE LOS NIÑOS Y NIÑAS EN EL ESPACIO DE CUIDADO Y ALBERGUE "CASA BÚHO" EN EL MUNICIPIO DE BUCARAMANGA</v>
      </c>
      <c r="E291" s="13" t="s">
        <v>969</v>
      </c>
      <c r="F291" s="15" t="s">
        <v>22</v>
      </c>
      <c r="G291" s="22" t="s">
        <v>23</v>
      </c>
      <c r="H291" s="21" t="s">
        <v>23</v>
      </c>
      <c r="I291" s="13" t="s">
        <v>260</v>
      </c>
      <c r="J291" s="13" t="s">
        <v>970</v>
      </c>
      <c r="K291" s="16">
        <v>44985</v>
      </c>
      <c r="L291" s="17">
        <v>1681326</v>
      </c>
      <c r="M291" s="17">
        <v>1681326</v>
      </c>
      <c r="N291" s="18">
        <v>1681326</v>
      </c>
      <c r="O291" s="15" t="s">
        <v>23</v>
      </c>
      <c r="Q291" s="13">
        <v>3015</v>
      </c>
      <c r="R291" s="13" t="s">
        <v>971</v>
      </c>
      <c r="S291" s="13" t="s">
        <v>261</v>
      </c>
      <c r="T291" s="13" t="s">
        <v>16</v>
      </c>
      <c r="U291" s="17">
        <f t="shared" si="11"/>
        <v>0</v>
      </c>
    </row>
    <row r="292" spans="1:21" x14ac:dyDescent="0.3">
      <c r="A292" s="13">
        <v>93</v>
      </c>
      <c r="B292" s="13" t="str">
        <f>+VLOOKUP(A292,'[1]PA 2023'!$A$8:$E$84,5)</f>
        <v>Mantener en funcionamiento los 3 Centros Vida con la prestacion de servicios integrales y/o dotacion de los mismos cumpliendo con la oferta institucional.</v>
      </c>
      <c r="C292" s="14">
        <v>2020680010040</v>
      </c>
      <c r="D292" s="14" t="str">
        <f>+VLOOKUP(C292,'[1]PA 2023'!$G$8:$H$84,2,FALSE)</f>
        <v>IMPLEMENTACIÓN DE ACCIONES TENDIENTES A MEJORAR LAS CONDICIONES DE LOS ADULTOS MAYORES DEL MUNICIPIO DE BUCARAMANGA</v>
      </c>
      <c r="E292" s="13" t="s">
        <v>972</v>
      </c>
      <c r="F292" s="15" t="s">
        <v>22</v>
      </c>
      <c r="G292" s="22" t="s">
        <v>23</v>
      </c>
      <c r="H292" s="21" t="s">
        <v>23</v>
      </c>
      <c r="I292" s="13" t="s">
        <v>260</v>
      </c>
      <c r="J292" s="13" t="s">
        <v>25</v>
      </c>
      <c r="K292" s="16">
        <v>44985</v>
      </c>
      <c r="L292" s="17">
        <v>2033089</v>
      </c>
      <c r="M292" s="17">
        <v>2033089</v>
      </c>
      <c r="N292" s="18">
        <v>2033089</v>
      </c>
      <c r="O292" s="15" t="s">
        <v>23</v>
      </c>
      <c r="Q292" s="13">
        <v>3016</v>
      </c>
      <c r="R292" s="13" t="s">
        <v>26</v>
      </c>
      <c r="S292" s="13" t="s">
        <v>261</v>
      </c>
      <c r="T292" s="13" t="s">
        <v>16</v>
      </c>
      <c r="U292" s="17">
        <f t="shared" si="11"/>
        <v>0</v>
      </c>
    </row>
    <row r="293" spans="1:21" x14ac:dyDescent="0.3">
      <c r="A293" s="13">
        <v>84</v>
      </c>
      <c r="B293" s="13" t="str">
        <f>+VLOOKUP(A293,'[1]PA 2023'!$A$8:$E$84,5)</f>
        <v>Sistematizar 4 buenas prácticas que aporten al desarrollo de las realizaciones establecidas para los niños, niñas y adolescentes en el marco del proceso de rendición pública de cuentas.</v>
      </c>
      <c r="C293" s="14">
        <v>2021680010003</v>
      </c>
      <c r="D293" s="14" t="str">
        <f>+VLOOKUP(C293,'[1]PA 2023'!$G$8:$H$84,2,FALSE)</f>
        <v>IMPLEMENTACIÓN DE ESTRATEGIAS PSICOPEDAGÓGICAS PARA LA DISMINUCIÓN DE FACTORES DE RIESGO EN NIÑOS, NIÑAS Y ADOLESCENTES EN EL MUNICIPIO DE BUCARAMANGA</v>
      </c>
      <c r="E293" s="13" t="s">
        <v>973</v>
      </c>
      <c r="F293" s="15">
        <v>1681</v>
      </c>
      <c r="G293" s="21" t="s">
        <v>43</v>
      </c>
      <c r="H293" s="21" t="s">
        <v>36</v>
      </c>
      <c r="I293" s="13" t="s">
        <v>974</v>
      </c>
      <c r="J293" s="13" t="s">
        <v>212</v>
      </c>
      <c r="K293" s="16">
        <v>44986</v>
      </c>
      <c r="L293" s="17">
        <v>11760000</v>
      </c>
      <c r="M293" s="17">
        <v>11760000</v>
      </c>
      <c r="N293" s="18">
        <f>3789333.33+3920000+3920000+130666.67</f>
        <v>11760000</v>
      </c>
      <c r="O293" s="22" t="s">
        <v>975</v>
      </c>
      <c r="Q293" s="13">
        <v>3085</v>
      </c>
      <c r="R293" s="13" t="s">
        <v>164</v>
      </c>
      <c r="S293" s="13" t="s">
        <v>976</v>
      </c>
      <c r="T293" s="13" t="s">
        <v>16</v>
      </c>
      <c r="U293" s="17">
        <f t="shared" si="11"/>
        <v>0</v>
      </c>
    </row>
    <row r="294" spans="1:21" x14ac:dyDescent="0.3">
      <c r="A294" s="13">
        <v>84</v>
      </c>
      <c r="B294" s="13" t="str">
        <f>+VLOOKUP(A294,'[1]PA 2023'!$A$8:$E$84,5)</f>
        <v>Sistematizar 4 buenas prácticas que aporten al desarrollo de las realizaciones establecidas para los niños, niñas y adolescentes en el marco del proceso de rendición pública de cuentas.</v>
      </c>
      <c r="C294" s="14">
        <v>2021680010003</v>
      </c>
      <c r="D294" s="14" t="str">
        <f>+VLOOKUP(C294,'[1]PA 2023'!$G$8:$H$84,2,FALSE)</f>
        <v>IMPLEMENTACIÓN DE ESTRATEGIAS PSICOPEDAGÓGICAS PARA LA DISMINUCIÓN DE FACTORES DE RIESGO EN NIÑOS, NIÑAS Y ADOLESCENTES EN EL MUNICIPIO DE BUCARAMANGA</v>
      </c>
      <c r="E294" s="13" t="s">
        <v>973</v>
      </c>
      <c r="F294" s="15">
        <v>1697</v>
      </c>
      <c r="G294" s="21" t="s">
        <v>43</v>
      </c>
      <c r="H294" s="21" t="s">
        <v>36</v>
      </c>
      <c r="I294" s="13" t="s">
        <v>977</v>
      </c>
      <c r="J294" s="13" t="s">
        <v>212</v>
      </c>
      <c r="K294" s="16">
        <v>44988</v>
      </c>
      <c r="L294" s="17">
        <v>11760000</v>
      </c>
      <c r="M294" s="17">
        <v>11760000</v>
      </c>
      <c r="N294" s="18">
        <f>3266666.67+3920000+3920000+653333.33</f>
        <v>11760000</v>
      </c>
      <c r="O294" s="22" t="s">
        <v>978</v>
      </c>
      <c r="Q294" s="13">
        <v>3131</v>
      </c>
      <c r="R294" s="13" t="s">
        <v>164</v>
      </c>
      <c r="S294" s="13" t="s">
        <v>979</v>
      </c>
      <c r="T294" s="13" t="s">
        <v>16</v>
      </c>
      <c r="U294" s="17">
        <f t="shared" si="11"/>
        <v>0</v>
      </c>
    </row>
    <row r="295" spans="1:21" x14ac:dyDescent="0.3">
      <c r="A295" s="13">
        <v>285</v>
      </c>
      <c r="B295" s="13" t="str">
        <f>+VLOOKUP(A295,'[1]PA 2023'!$A$8:$E$84,5)</f>
        <v>Mantener en funcionamiento el 100% de los salones comunales que hacen parte del programa Ágoras.</v>
      </c>
      <c r="C295" s="14">
        <v>2022680010029</v>
      </c>
      <c r="D295" s="14" t="str">
        <f>+VLOOKUP(C295,'[1]PA 2023'!$G$8:$H$84,2,FALSE)</f>
        <v>FORTALECIMIENTO DE LA PARTICIPACIÓN CIUDADANA EN EL MUNICIPIO DE BUCARAMANGA</v>
      </c>
      <c r="E295" s="13" t="s">
        <v>681</v>
      </c>
      <c r="F295" s="15">
        <v>1698</v>
      </c>
      <c r="G295" s="21" t="s">
        <v>35</v>
      </c>
      <c r="H295" s="21" t="s">
        <v>36</v>
      </c>
      <c r="I295" s="13" t="s">
        <v>980</v>
      </c>
      <c r="J295" s="13" t="s">
        <v>468</v>
      </c>
      <c r="K295" s="16">
        <v>44988</v>
      </c>
      <c r="L295" s="17">
        <v>5100000</v>
      </c>
      <c r="M295" s="17">
        <v>5100000</v>
      </c>
      <c r="N295" s="18">
        <f>1500000+1800000+1800000</f>
        <v>5100000</v>
      </c>
      <c r="O295" s="22" t="s">
        <v>981</v>
      </c>
      <c r="Q295" s="13">
        <v>3139</v>
      </c>
      <c r="R295" s="13" t="s">
        <v>134</v>
      </c>
      <c r="S295" s="13" t="s">
        <v>982</v>
      </c>
      <c r="T295" s="13" t="s">
        <v>16</v>
      </c>
      <c r="U295" s="17">
        <f t="shared" si="11"/>
        <v>0</v>
      </c>
    </row>
    <row r="296" spans="1:21" x14ac:dyDescent="0.3">
      <c r="A296" s="13">
        <v>88</v>
      </c>
      <c r="B296" s="13" t="str">
        <f>+VLOOKUP(A296,'[1]PA 2023'!$A$8:$E$84,5)</f>
        <v>Beneficiar y mantener a 11.000 personas mayores con el programa Colombia Mayor.</v>
      </c>
      <c r="C296" s="14">
        <v>2020680010040</v>
      </c>
      <c r="D296" s="14" t="str">
        <f>+VLOOKUP(C296,'[1]PA 2023'!$G$8:$H$84,2,FALSE)</f>
        <v>IMPLEMENTACIÓN DE ACCIONES TENDIENTES A MEJORAR LAS CONDICIONES DE LOS ADULTOS MAYORES DEL MUNICIPIO DE BUCARAMANGA</v>
      </c>
      <c r="E296" s="13" t="s">
        <v>983</v>
      </c>
      <c r="F296" s="15">
        <v>1696</v>
      </c>
      <c r="G296" s="21" t="s">
        <v>35</v>
      </c>
      <c r="H296" s="21" t="s">
        <v>36</v>
      </c>
      <c r="I296" s="13" t="s">
        <v>984</v>
      </c>
      <c r="J296" s="13" t="s">
        <v>574</v>
      </c>
      <c r="K296" s="16">
        <v>44988</v>
      </c>
      <c r="L296" s="17">
        <v>5400000</v>
      </c>
      <c r="M296" s="17">
        <v>5400000</v>
      </c>
      <c r="N296" s="18">
        <f>1680000+1800000+1800000+120000</f>
        <v>5400000</v>
      </c>
      <c r="O296" s="22" t="s">
        <v>985</v>
      </c>
      <c r="Q296" s="13">
        <v>3140</v>
      </c>
      <c r="R296" s="13" t="s">
        <v>26</v>
      </c>
      <c r="S296" s="13" t="s">
        <v>986</v>
      </c>
      <c r="T296" s="13" t="s">
        <v>16</v>
      </c>
      <c r="U296" s="17">
        <f t="shared" si="11"/>
        <v>0</v>
      </c>
    </row>
    <row r="297" spans="1:21" x14ac:dyDescent="0.3">
      <c r="A297" s="13">
        <v>93</v>
      </c>
      <c r="B297" s="13" t="str">
        <f>+VLOOKUP(A297,'[1]PA 2023'!$A$8:$E$84,5)</f>
        <v>Mantener en funcionamiento los 3 Centros Vida con la prestacion de servicios integrales y/o dotacion de los mismos cumpliendo con la oferta institucional.</v>
      </c>
      <c r="C297" s="14">
        <v>2020680010040</v>
      </c>
      <c r="D297" s="14" t="str">
        <f>+VLOOKUP(C297,'[1]PA 2023'!$G$8:$H$84,2,FALSE)</f>
        <v>IMPLEMENTACIÓN DE ACCIONES TENDIENTES A MEJORAR LAS CONDICIONES DE LOS ADULTOS MAYORES DEL MUNICIPIO DE BUCARAMANGA</v>
      </c>
      <c r="E297" s="13" t="s">
        <v>987</v>
      </c>
      <c r="F297" s="15">
        <v>1701</v>
      </c>
      <c r="G297" s="21" t="s">
        <v>43</v>
      </c>
      <c r="H297" s="21" t="s">
        <v>36</v>
      </c>
      <c r="I297" s="13" t="s">
        <v>988</v>
      </c>
      <c r="J297" s="13" t="s">
        <v>574</v>
      </c>
      <c r="K297" s="16">
        <v>44991</v>
      </c>
      <c r="L297" s="17">
        <v>9916666.6699999999</v>
      </c>
      <c r="M297" s="17">
        <v>9916666.6699999999</v>
      </c>
      <c r="N297" s="18">
        <f>2916666.67+3500000+3500000</f>
        <v>9916666.6699999999</v>
      </c>
      <c r="O297" s="22" t="s">
        <v>989</v>
      </c>
      <c r="Q297" s="13">
        <v>3145</v>
      </c>
      <c r="R297" s="13" t="s">
        <v>26</v>
      </c>
      <c r="S297" s="13" t="s">
        <v>990</v>
      </c>
      <c r="T297" s="13" t="s">
        <v>16</v>
      </c>
      <c r="U297" s="17">
        <f t="shared" si="11"/>
        <v>0</v>
      </c>
    </row>
    <row r="298" spans="1:21" x14ac:dyDescent="0.3">
      <c r="A298" s="13">
        <v>112</v>
      </c>
      <c r="B298" s="13" t="str">
        <f>+VLOOKUP(A298,'[1]PA 2023'!$A$8:$E$84,5)</f>
        <v>Mantener a 284 habitantes de calle con atención integral en la cual se incluya la prestación de servicios básicos.</v>
      </c>
      <c r="C298" s="14">
        <v>2020680010050</v>
      </c>
      <c r="D298" s="14" t="str">
        <f>+VLOOKUP(C298,'[1]PA 2023'!$G$8:$H$84,2,FALSE)</f>
        <v>DESARROLLO DE ACCIONES ENCAMINADAS A GENERAR ATENCIÓN INTEGRAL HACIA LA POBLACIÓN HABITANTES EN SITUACIÓN DE CALLE DEL MUNICIPIO DE BUCARAMANGA</v>
      </c>
      <c r="E298" s="13" t="s">
        <v>991</v>
      </c>
      <c r="F298" s="15">
        <v>29</v>
      </c>
      <c r="G298" s="22" t="s">
        <v>177</v>
      </c>
      <c r="H298" s="21" t="s">
        <v>185</v>
      </c>
      <c r="I298" s="13" t="s">
        <v>179</v>
      </c>
      <c r="J298" s="13" t="s">
        <v>180</v>
      </c>
      <c r="K298" s="16">
        <v>44991</v>
      </c>
      <c r="L298" s="17">
        <v>204047256</v>
      </c>
      <c r="M298" s="17">
        <v>204047256</v>
      </c>
      <c r="N298" s="18">
        <f>40335970+49071582+49272171+51011814+14355719</f>
        <v>204047256</v>
      </c>
      <c r="O298" s="22" t="s">
        <v>992</v>
      </c>
      <c r="Q298" s="13">
        <v>3146</v>
      </c>
      <c r="R298" s="13" t="s">
        <v>161</v>
      </c>
      <c r="S298" s="13" t="s">
        <v>182</v>
      </c>
      <c r="T298" s="13" t="s">
        <v>16</v>
      </c>
      <c r="U298" s="17">
        <f t="shared" si="11"/>
        <v>0</v>
      </c>
    </row>
    <row r="299" spans="1:21" x14ac:dyDescent="0.3">
      <c r="A299" s="13">
        <v>283</v>
      </c>
      <c r="B299" s="13" t="str">
        <f>+VLOOKUP(A299,'[1]PA 2023'!$A$8:$E$84,5)</f>
        <v>Formular e implementar 1 estrategia que fortalezca la democracia participativa (Ley 1757 de 2015).</v>
      </c>
      <c r="C299" s="14">
        <v>2022680010029</v>
      </c>
      <c r="D299" s="14" t="str">
        <f>+VLOOKUP(C299,'[1]PA 2023'!$G$8:$H$84,2,FALSE)</f>
        <v>FORTALECIMIENTO DE LA PARTICIPACIÓN CIUDADANA EN EL MUNICIPIO DE BUCARAMANGA</v>
      </c>
      <c r="E299" s="13" t="s">
        <v>993</v>
      </c>
      <c r="F299" s="15">
        <v>1713</v>
      </c>
      <c r="G299" s="21" t="s">
        <v>35</v>
      </c>
      <c r="H299" s="21" t="s">
        <v>36</v>
      </c>
      <c r="I299" s="13" t="s">
        <v>994</v>
      </c>
      <c r="J299" s="13" t="s">
        <v>468</v>
      </c>
      <c r="K299" s="16">
        <v>44993</v>
      </c>
      <c r="L299" s="17">
        <v>6516666.6699999999</v>
      </c>
      <c r="M299" s="17">
        <v>6516666.6699999999</v>
      </c>
      <c r="N299" s="18">
        <f>1763333.33+2300000+2300000+76666.67</f>
        <v>6440000</v>
      </c>
      <c r="O299" s="22" t="s">
        <v>995</v>
      </c>
      <c r="Q299" s="13">
        <v>3263</v>
      </c>
      <c r="R299" s="13" t="s">
        <v>134</v>
      </c>
      <c r="S299" s="13" t="s">
        <v>996</v>
      </c>
      <c r="T299" s="13" t="s">
        <v>16</v>
      </c>
      <c r="U299" s="17">
        <f t="shared" si="11"/>
        <v>76666.669999999925</v>
      </c>
    </row>
    <row r="300" spans="1:21" x14ac:dyDescent="0.3">
      <c r="A300" s="13">
        <v>300</v>
      </c>
      <c r="B300" s="13" t="str">
        <f>+VLOOKUP(A300,'[1]PA 2023'!$A$8:$E$84,5)</f>
        <v>Mantener el 100% de los programas que desarrolla la Administración Central.</v>
      </c>
      <c r="C300" s="14">
        <v>2020680010025</v>
      </c>
      <c r="D300" s="14" t="str">
        <f>+VLOOKUP(C300,'[1]PA 2023'!$G$8:$H$84,2,FALSE)</f>
        <v>MEJORAMIENTO DE LOS PROCESOS TRANSVERSALES PARA UNA ADMINISTRACIÓN PUBLICA MODERNA Y EFICIENTE EN LA SECRETARÍA DE DESARROLLO SOCIAL DEL MUNICIPIO BUCARAMANGA</v>
      </c>
      <c r="E300" s="13" t="s">
        <v>997</v>
      </c>
      <c r="F300" s="15">
        <v>1714</v>
      </c>
      <c r="G300" s="21" t="s">
        <v>43</v>
      </c>
      <c r="H300" s="21" t="s">
        <v>36</v>
      </c>
      <c r="I300" s="13" t="s">
        <v>998</v>
      </c>
      <c r="J300" s="13" t="s">
        <v>38</v>
      </c>
      <c r="K300" s="16">
        <v>44993</v>
      </c>
      <c r="L300" s="17">
        <v>9333333.3300000001</v>
      </c>
      <c r="M300" s="17">
        <v>9333333.3300000001</v>
      </c>
      <c r="N300" s="18">
        <f>2683333.33+6650000</f>
        <v>9333333.3300000001</v>
      </c>
      <c r="O300" s="22" t="s">
        <v>999</v>
      </c>
      <c r="Q300" s="13">
        <v>3264</v>
      </c>
      <c r="R300" s="13" t="s">
        <v>40</v>
      </c>
      <c r="S300" s="13" t="s">
        <v>1000</v>
      </c>
      <c r="T300" s="13" t="s">
        <v>16</v>
      </c>
      <c r="U300" s="17">
        <f t="shared" si="11"/>
        <v>0</v>
      </c>
    </row>
    <row r="301" spans="1:21" x14ac:dyDescent="0.3">
      <c r="A301" s="13">
        <v>84</v>
      </c>
      <c r="B301" s="13" t="str">
        <f>+VLOOKUP(A301,'[1]PA 2023'!$A$8:$E$84,5)</f>
        <v>Sistematizar 4 buenas prácticas que aporten al desarrollo de las realizaciones establecidas para los niños, niñas y adolescentes en el marco del proceso de rendición pública de cuentas.</v>
      </c>
      <c r="C301" s="14">
        <v>2021680010003</v>
      </c>
      <c r="D301" s="14" t="str">
        <f>+VLOOKUP(C301,'[1]PA 2023'!$G$8:$H$84,2,FALSE)</f>
        <v>IMPLEMENTACIÓN DE ESTRATEGIAS PSICOPEDAGÓGICAS PARA LA DISMINUCIÓN DE FACTORES DE RIESGO EN NIÑOS, NIÑAS Y ADOLESCENTES EN EL MUNICIPIO DE BUCARAMANGA</v>
      </c>
      <c r="E301" s="13" t="s">
        <v>973</v>
      </c>
      <c r="F301" s="15">
        <v>1709</v>
      </c>
      <c r="G301" s="21" t="s">
        <v>43</v>
      </c>
      <c r="H301" s="21" t="s">
        <v>36</v>
      </c>
      <c r="I301" s="13" t="s">
        <v>1001</v>
      </c>
      <c r="J301" s="13" t="s">
        <v>212</v>
      </c>
      <c r="K301" s="16">
        <v>44993</v>
      </c>
      <c r="L301" s="17">
        <v>11760000</v>
      </c>
      <c r="M301" s="17">
        <v>11760000</v>
      </c>
      <c r="N301" s="18">
        <f>3005333.33+3920000+3920000+914666.67</f>
        <v>11760000</v>
      </c>
      <c r="O301" s="22" t="s">
        <v>1002</v>
      </c>
      <c r="Q301" s="13">
        <v>3265</v>
      </c>
      <c r="R301" s="13" t="s">
        <v>164</v>
      </c>
      <c r="S301" s="13" t="s">
        <v>1003</v>
      </c>
      <c r="T301" s="13" t="s">
        <v>16</v>
      </c>
      <c r="U301" s="17">
        <f t="shared" si="11"/>
        <v>0</v>
      </c>
    </row>
    <row r="302" spans="1:21" x14ac:dyDescent="0.3">
      <c r="A302" s="13">
        <v>84</v>
      </c>
      <c r="B302" s="13" t="str">
        <f>+VLOOKUP(A302,'[1]PA 2023'!$A$8:$E$84,5)</f>
        <v>Sistematizar 4 buenas prácticas que aporten al desarrollo de las realizaciones establecidas para los niños, niñas y adolescentes en el marco del proceso de rendición pública de cuentas.</v>
      </c>
      <c r="C302" s="14">
        <v>2021680010003</v>
      </c>
      <c r="D302" s="14" t="str">
        <f>+VLOOKUP(C302,'[1]PA 2023'!$G$8:$H$84,2,FALSE)</f>
        <v>IMPLEMENTACIÓN DE ESTRATEGIAS PSICOPEDAGÓGICAS PARA LA DISMINUCIÓN DE FACTORES DE RIESGO EN NIÑOS, NIÑAS Y ADOLESCENTES EN EL MUNICIPIO DE BUCARAMANGA</v>
      </c>
      <c r="E302" s="13" t="s">
        <v>973</v>
      </c>
      <c r="F302" s="15">
        <v>1710</v>
      </c>
      <c r="G302" s="21" t="s">
        <v>43</v>
      </c>
      <c r="H302" s="21" t="s">
        <v>36</v>
      </c>
      <c r="I302" s="13" t="s">
        <v>1004</v>
      </c>
      <c r="J302" s="13" t="s">
        <v>212</v>
      </c>
      <c r="K302" s="16">
        <v>44993</v>
      </c>
      <c r="L302" s="17">
        <v>11760000</v>
      </c>
      <c r="M302" s="17">
        <v>11760000</v>
      </c>
      <c r="N302" s="18">
        <f>3005333.33+3920000+3920000+914666.67</f>
        <v>11760000</v>
      </c>
      <c r="O302" s="22" t="s">
        <v>1005</v>
      </c>
      <c r="Q302" s="13">
        <v>3266</v>
      </c>
      <c r="R302" s="13" t="s">
        <v>164</v>
      </c>
      <c r="S302" s="13" t="s">
        <v>1006</v>
      </c>
      <c r="T302" s="13" t="s">
        <v>16</v>
      </c>
      <c r="U302" s="17">
        <f t="shared" si="11"/>
        <v>0</v>
      </c>
    </row>
    <row r="303" spans="1:21" x14ac:dyDescent="0.3">
      <c r="A303" s="13">
        <v>283</v>
      </c>
      <c r="B303" s="13" t="str">
        <f>+VLOOKUP(A303,'[1]PA 2023'!$A$8:$E$84,5)</f>
        <v>Formular e implementar 1 estrategia que fortalezca la democracia participativa (Ley 1757 de 2015).</v>
      </c>
      <c r="C303" s="14">
        <v>2022680010029</v>
      </c>
      <c r="D303" s="14" t="str">
        <f>+VLOOKUP(C303,'[1]PA 2023'!$G$8:$H$84,2,FALSE)</f>
        <v>FORTALECIMIENTO DE LA PARTICIPACIÓN CIUDADANA EN EL MUNICIPIO DE BUCARAMANGA</v>
      </c>
      <c r="E303" s="13" t="s">
        <v>677</v>
      </c>
      <c r="F303" s="15">
        <v>1711</v>
      </c>
      <c r="G303" s="21" t="s">
        <v>43</v>
      </c>
      <c r="H303" s="21" t="s">
        <v>36</v>
      </c>
      <c r="I303" s="13" t="s">
        <v>1007</v>
      </c>
      <c r="J303" s="13" t="s">
        <v>468</v>
      </c>
      <c r="K303" s="16">
        <v>44993</v>
      </c>
      <c r="L303" s="17">
        <v>11333333.33</v>
      </c>
      <c r="M303" s="17">
        <v>11333333.33</v>
      </c>
      <c r="N303" s="18">
        <f>3066666.67+4000000+4000000+133333.33</f>
        <v>11200000</v>
      </c>
      <c r="O303" s="22" t="s">
        <v>1008</v>
      </c>
      <c r="Q303" s="13">
        <v>3267</v>
      </c>
      <c r="R303" s="13" t="s">
        <v>134</v>
      </c>
      <c r="S303" s="13" t="s">
        <v>1009</v>
      </c>
      <c r="T303" s="13" t="s">
        <v>16</v>
      </c>
      <c r="U303" s="17">
        <f t="shared" si="11"/>
        <v>133333.33000000007</v>
      </c>
    </row>
    <row r="304" spans="1:21" x14ac:dyDescent="0.3">
      <c r="A304" s="13">
        <v>94</v>
      </c>
      <c r="B304" s="13" t="str">
        <f>+VLOOKUP(A304,'[1]PA 2023'!$A$8:$E$84,5)</f>
        <v>Mantener el servicio atención primaria en salud, atención psicosocial que promueva la salud física, salud mental y el bienestar social de las personas mayores en los centros vida.</v>
      </c>
      <c r="C304" s="14">
        <v>2020680010040</v>
      </c>
      <c r="D304" s="14" t="str">
        <f>+VLOOKUP(C304,'[1]PA 2023'!$G$8:$H$84,2,FALSE)</f>
        <v>IMPLEMENTACIÓN DE ACCIONES TENDIENTES A MEJORAR LAS CONDICIONES DE LOS ADULTOS MAYORES DEL MUNICIPIO DE BUCARAMANGA</v>
      </c>
      <c r="E304" s="13" t="s">
        <v>1010</v>
      </c>
      <c r="F304" s="15">
        <v>1718</v>
      </c>
      <c r="G304" s="21" t="s">
        <v>43</v>
      </c>
      <c r="H304" s="21" t="s">
        <v>36</v>
      </c>
      <c r="I304" s="13" t="s">
        <v>1011</v>
      </c>
      <c r="J304" s="13" t="s">
        <v>574</v>
      </c>
      <c r="K304" s="16">
        <v>44993</v>
      </c>
      <c r="L304" s="17">
        <v>8000000</v>
      </c>
      <c r="M304" s="17">
        <v>8000000</v>
      </c>
      <c r="N304" s="18">
        <f>2200000+3000000+2800000</f>
        <v>8000000</v>
      </c>
      <c r="O304" s="22" t="s">
        <v>1012</v>
      </c>
      <c r="Q304" s="13">
        <v>3270</v>
      </c>
      <c r="R304" s="13" t="s">
        <v>26</v>
      </c>
      <c r="S304" s="13" t="s">
        <v>1013</v>
      </c>
      <c r="T304" s="13" t="s">
        <v>16</v>
      </c>
      <c r="U304" s="17">
        <f t="shared" si="11"/>
        <v>0</v>
      </c>
    </row>
    <row r="305" spans="1:21" x14ac:dyDescent="0.3">
      <c r="A305" s="13">
        <v>98</v>
      </c>
      <c r="B305" s="13" t="str">
        <f>+VLOOKUP(A305,'[1]PA 2023'!$A$8:$E$84,5)</f>
        <v>Mantener el 100% del apoyo logístico a las familias beneficiadas del programa Familias en Acción.</v>
      </c>
      <c r="C305" s="14">
        <v>2020680010072</v>
      </c>
      <c r="D305" s="14" t="str">
        <f>+VLOOKUP(C305,'[1]PA 2023'!$G$8:$H$84,2,FALSE)</f>
        <v>APOYO A LA OPERATIVIDAD DEL PROGRAMA NACIONAL MÁS FAMILIAS EN ACCIÓN EN EL MUNICIPIO DE BUCARAMANGA</v>
      </c>
      <c r="E305" s="13" t="s">
        <v>1014</v>
      </c>
      <c r="F305" s="15" t="s">
        <v>22</v>
      </c>
      <c r="G305" s="22" t="s">
        <v>23</v>
      </c>
      <c r="H305" s="21" t="s">
        <v>23</v>
      </c>
      <c r="I305" s="13" t="s">
        <v>470</v>
      </c>
      <c r="J305" s="13" t="s">
        <v>472</v>
      </c>
      <c r="K305" s="16">
        <v>44995</v>
      </c>
      <c r="L305" s="17">
        <v>70872.960000000006</v>
      </c>
      <c r="M305" s="17">
        <v>70872.960000000006</v>
      </c>
      <c r="N305" s="18">
        <v>70872.960000000006</v>
      </c>
      <c r="O305" s="15" t="s">
        <v>23</v>
      </c>
      <c r="Q305" s="13">
        <v>3352</v>
      </c>
      <c r="R305" s="23" t="s">
        <v>473</v>
      </c>
      <c r="S305" s="13" t="s">
        <v>471</v>
      </c>
      <c r="T305" s="13" t="s">
        <v>16</v>
      </c>
      <c r="U305" s="17">
        <f t="shared" si="11"/>
        <v>0</v>
      </c>
    </row>
    <row r="306" spans="1:21" x14ac:dyDescent="0.3">
      <c r="A306" s="13">
        <v>93</v>
      </c>
      <c r="B306" s="13" t="str">
        <f>+VLOOKUP(A306,'[1]PA 2023'!$A$8:$E$84,5)</f>
        <v>Mantener en funcionamiento los 3 Centros Vida con la prestacion de servicios integrales y/o dotacion de los mismos cumpliendo con la oferta institucional.</v>
      </c>
      <c r="C306" s="14">
        <v>2020680010040</v>
      </c>
      <c r="D306" s="14" t="str">
        <f>+VLOOKUP(C306,'[1]PA 2023'!$G$8:$H$84,2,FALSE)</f>
        <v>IMPLEMENTACIÓN DE ACCIONES TENDIENTES A MEJORAR LAS CONDICIONES DE LOS ADULTOS MAYORES DEL MUNICIPIO DE BUCARAMANGA</v>
      </c>
      <c r="E306" s="13" t="s">
        <v>1014</v>
      </c>
      <c r="F306" s="15" t="s">
        <v>22</v>
      </c>
      <c r="G306" s="22" t="s">
        <v>23</v>
      </c>
      <c r="H306" s="21" t="s">
        <v>23</v>
      </c>
      <c r="I306" s="13" t="s">
        <v>470</v>
      </c>
      <c r="J306" s="13" t="s">
        <v>25</v>
      </c>
      <c r="K306" s="16">
        <v>44995</v>
      </c>
      <c r="L306" s="17">
        <v>128953.99</v>
      </c>
      <c r="M306" s="17">
        <v>128953.99</v>
      </c>
      <c r="N306" s="18">
        <v>128953.99</v>
      </c>
      <c r="O306" s="15" t="s">
        <v>23</v>
      </c>
      <c r="Q306" s="13">
        <v>3352</v>
      </c>
      <c r="R306" s="23" t="s">
        <v>26</v>
      </c>
      <c r="S306" s="13" t="s">
        <v>471</v>
      </c>
      <c r="T306" s="13" t="s">
        <v>16</v>
      </c>
      <c r="U306" s="17">
        <f t="shared" si="11"/>
        <v>0</v>
      </c>
    </row>
    <row r="307" spans="1:21" x14ac:dyDescent="0.3">
      <c r="A307" s="13">
        <v>285</v>
      </c>
      <c r="B307" s="13" t="str">
        <f>+VLOOKUP(A307,'[1]PA 2023'!$A$8:$E$84,5)</f>
        <v>Mantener en funcionamiento el 100% de los salones comunales que hacen parte del programa Ágoras.</v>
      </c>
      <c r="C307" s="14">
        <v>2022680010029</v>
      </c>
      <c r="D307" s="14" t="str">
        <f>+VLOOKUP(C307,'[1]PA 2023'!$G$8:$H$84,2,FALSE)</f>
        <v>FORTALECIMIENTO DE LA PARTICIPACIÓN CIUDADANA EN EL MUNICIPIO DE BUCARAMANGA</v>
      </c>
      <c r="E307" s="13" t="s">
        <v>1014</v>
      </c>
      <c r="F307" s="15" t="s">
        <v>22</v>
      </c>
      <c r="G307" s="22" t="s">
        <v>23</v>
      </c>
      <c r="H307" s="21" t="s">
        <v>23</v>
      </c>
      <c r="I307" s="13" t="s">
        <v>470</v>
      </c>
      <c r="J307" s="13" t="s">
        <v>468</v>
      </c>
      <c r="K307" s="16">
        <v>44995</v>
      </c>
      <c r="L307" s="17">
        <v>70872.960000000006</v>
      </c>
      <c r="M307" s="17">
        <v>70872.960000000006</v>
      </c>
      <c r="N307" s="18">
        <v>70872.960000000006</v>
      </c>
      <c r="O307" s="15" t="s">
        <v>23</v>
      </c>
      <c r="Q307" s="13">
        <v>3352</v>
      </c>
      <c r="R307" s="23" t="s">
        <v>134</v>
      </c>
      <c r="S307" s="13" t="s">
        <v>471</v>
      </c>
      <c r="T307" s="13" t="s">
        <v>16</v>
      </c>
      <c r="U307" s="17">
        <f t="shared" si="11"/>
        <v>0</v>
      </c>
    </row>
    <row r="308" spans="1:21" x14ac:dyDescent="0.3">
      <c r="A308" s="13">
        <v>93</v>
      </c>
      <c r="B308" s="13" t="str">
        <f>+VLOOKUP(A308,'[1]PA 2023'!$A$8:$E$84,5)</f>
        <v>Mantener en funcionamiento los 3 Centros Vida con la prestacion de servicios integrales y/o dotacion de los mismos cumpliendo con la oferta institucional.</v>
      </c>
      <c r="C308" s="14">
        <v>2020680010040</v>
      </c>
      <c r="D308" s="14" t="str">
        <f>+VLOOKUP(C308,'[1]PA 2023'!$G$8:$H$84,2,FALSE)</f>
        <v>IMPLEMENTACIÓN DE ACCIONES TENDIENTES A MEJORAR LAS CONDICIONES DE LOS ADULTOS MAYORES DEL MUNICIPIO DE BUCARAMANGA</v>
      </c>
      <c r="E308" s="13" t="s">
        <v>1015</v>
      </c>
      <c r="F308" s="15" t="s">
        <v>22</v>
      </c>
      <c r="G308" s="22" t="s">
        <v>23</v>
      </c>
      <c r="H308" s="21" t="s">
        <v>23</v>
      </c>
      <c r="I308" s="13" t="s">
        <v>32</v>
      </c>
      <c r="J308" s="13" t="s">
        <v>25</v>
      </c>
      <c r="K308" s="16">
        <v>44995</v>
      </c>
      <c r="L308" s="17">
        <v>84086</v>
      </c>
      <c r="M308" s="17">
        <v>84086</v>
      </c>
      <c r="N308" s="18">
        <v>84086</v>
      </c>
      <c r="O308" s="15" t="s">
        <v>23</v>
      </c>
      <c r="Q308" s="13">
        <v>3353</v>
      </c>
      <c r="R308" s="13" t="s">
        <v>26</v>
      </c>
      <c r="S308" s="13" t="s">
        <v>33</v>
      </c>
      <c r="T308" s="13" t="s">
        <v>16</v>
      </c>
      <c r="U308" s="17">
        <f t="shared" si="11"/>
        <v>0</v>
      </c>
    </row>
    <row r="309" spans="1:21" x14ac:dyDescent="0.3">
      <c r="A309" s="13">
        <v>286</v>
      </c>
      <c r="B309" s="13" t="str">
        <f>+VLOOKUP(A309,'[1]PA 2023'!$A$8:$E$84,5)</f>
        <v>Mantener el beneficio al 100% de los ediles con pago de EPS, ARL, póliza de vida y dotación.</v>
      </c>
      <c r="C309" s="14">
        <v>2022680010029</v>
      </c>
      <c r="D309" s="14" t="str">
        <f>+VLOOKUP(C309,'[1]PA 2023'!$G$8:$H$84,2,FALSE)</f>
        <v>FORTALECIMIENTO DE LA PARTICIPACIÓN CIUDADANA EN EL MUNICIPIO DE BUCARAMANGA</v>
      </c>
      <c r="E309" s="13" t="s">
        <v>1016</v>
      </c>
      <c r="F309" s="15" t="s">
        <v>22</v>
      </c>
      <c r="G309" s="22" t="s">
        <v>23</v>
      </c>
      <c r="H309" s="21" t="s">
        <v>23</v>
      </c>
      <c r="I309" s="13" t="s">
        <v>132</v>
      </c>
      <c r="J309" s="13" t="s">
        <v>133</v>
      </c>
      <c r="K309" s="16">
        <v>44995</v>
      </c>
      <c r="L309" s="17">
        <v>713700</v>
      </c>
      <c r="M309" s="17">
        <v>713700</v>
      </c>
      <c r="N309" s="18">
        <v>713700</v>
      </c>
      <c r="O309" s="15" t="s">
        <v>23</v>
      </c>
      <c r="Q309" s="13">
        <v>3354</v>
      </c>
      <c r="R309" s="13" t="s">
        <v>134</v>
      </c>
      <c r="S309" s="13" t="s">
        <v>135</v>
      </c>
      <c r="T309" s="13" t="s">
        <v>16</v>
      </c>
      <c r="U309" s="17">
        <f t="shared" si="11"/>
        <v>0</v>
      </c>
    </row>
    <row r="310" spans="1:21" x14ac:dyDescent="0.3">
      <c r="A310" s="13">
        <v>286</v>
      </c>
      <c r="B310" s="13" t="str">
        <f>+VLOOKUP(A310,'[1]PA 2023'!$A$8:$E$84,5)</f>
        <v>Mantener el beneficio al 100% de los ediles con pago de EPS, ARL, póliza de vida y dotación.</v>
      </c>
      <c r="C310" s="14">
        <v>2022680010029</v>
      </c>
      <c r="D310" s="14" t="str">
        <f>+VLOOKUP(C310,'[1]PA 2023'!$G$8:$H$84,2,FALSE)</f>
        <v>FORTALECIMIENTO DE LA PARTICIPACIÓN CIUDADANA EN EL MUNICIPIO DE BUCARAMANGA</v>
      </c>
      <c r="E310" s="13" t="s">
        <v>1017</v>
      </c>
      <c r="F310" s="15" t="s">
        <v>22</v>
      </c>
      <c r="G310" s="22" t="s">
        <v>23</v>
      </c>
      <c r="H310" s="21" t="s">
        <v>23</v>
      </c>
      <c r="I310" s="13" t="s">
        <v>137</v>
      </c>
      <c r="J310" s="13" t="s">
        <v>133</v>
      </c>
      <c r="K310" s="16">
        <v>44995</v>
      </c>
      <c r="L310" s="17">
        <v>725000</v>
      </c>
      <c r="M310" s="17">
        <v>725000</v>
      </c>
      <c r="N310" s="18">
        <v>725000</v>
      </c>
      <c r="O310" s="15" t="s">
        <v>23</v>
      </c>
      <c r="Q310" s="13">
        <v>3355</v>
      </c>
      <c r="R310" s="13" t="s">
        <v>134</v>
      </c>
      <c r="S310" s="13" t="s">
        <v>138</v>
      </c>
      <c r="T310" s="13" t="s">
        <v>16</v>
      </c>
      <c r="U310" s="17">
        <f t="shared" si="11"/>
        <v>0</v>
      </c>
    </row>
    <row r="311" spans="1:21" x14ac:dyDescent="0.3">
      <c r="A311" s="13">
        <v>286</v>
      </c>
      <c r="B311" s="13" t="str">
        <f>+VLOOKUP(A311,'[1]PA 2023'!$A$8:$E$84,5)</f>
        <v>Mantener el beneficio al 100% de los ediles con pago de EPS, ARL, póliza de vida y dotación.</v>
      </c>
      <c r="C311" s="14">
        <v>2022680010029</v>
      </c>
      <c r="D311" s="14" t="str">
        <f>+VLOOKUP(C311,'[1]PA 2023'!$G$8:$H$84,2,FALSE)</f>
        <v>FORTALECIMIENTO DE LA PARTICIPACIÓN CIUDADANA EN EL MUNICIPIO DE BUCARAMANGA</v>
      </c>
      <c r="E311" s="13" t="s">
        <v>1017</v>
      </c>
      <c r="F311" s="15" t="s">
        <v>22</v>
      </c>
      <c r="G311" s="22" t="s">
        <v>23</v>
      </c>
      <c r="H311" s="21" t="s">
        <v>23</v>
      </c>
      <c r="I311" s="13" t="s">
        <v>139</v>
      </c>
      <c r="J311" s="13" t="s">
        <v>133</v>
      </c>
      <c r="K311" s="16">
        <v>44995</v>
      </c>
      <c r="L311" s="17">
        <v>435000</v>
      </c>
      <c r="M311" s="17">
        <v>435000</v>
      </c>
      <c r="N311" s="18">
        <v>435000</v>
      </c>
      <c r="O311" s="15" t="s">
        <v>23</v>
      </c>
      <c r="Q311" s="13">
        <v>3356</v>
      </c>
      <c r="R311" s="13" t="s">
        <v>134</v>
      </c>
      <c r="S311" s="13" t="s">
        <v>140</v>
      </c>
      <c r="T311" s="13" t="s">
        <v>16</v>
      </c>
      <c r="U311" s="17">
        <f t="shared" si="11"/>
        <v>0</v>
      </c>
    </row>
    <row r="312" spans="1:21" x14ac:dyDescent="0.3">
      <c r="A312" s="13">
        <v>286</v>
      </c>
      <c r="B312" s="13" t="str">
        <f>+VLOOKUP(A312,'[1]PA 2023'!$A$8:$E$84,5)</f>
        <v>Mantener el beneficio al 100% de los ediles con pago de EPS, ARL, póliza de vida y dotación.</v>
      </c>
      <c r="C312" s="14">
        <v>2022680010029</v>
      </c>
      <c r="D312" s="14" t="str">
        <f>+VLOOKUP(C312,'[1]PA 2023'!$G$8:$H$84,2,FALSE)</f>
        <v>FORTALECIMIENTO DE LA PARTICIPACIÓN CIUDADANA EN EL MUNICIPIO DE BUCARAMANGA</v>
      </c>
      <c r="E312" s="13" t="s">
        <v>1017</v>
      </c>
      <c r="F312" s="15" t="s">
        <v>22</v>
      </c>
      <c r="G312" s="22" t="s">
        <v>23</v>
      </c>
      <c r="H312" s="21" t="s">
        <v>23</v>
      </c>
      <c r="I312" s="13" t="s">
        <v>141</v>
      </c>
      <c r="J312" s="13" t="s">
        <v>133</v>
      </c>
      <c r="K312" s="16">
        <v>44995</v>
      </c>
      <c r="L312" s="17">
        <v>1740000</v>
      </c>
      <c r="M312" s="17">
        <v>1740000</v>
      </c>
      <c r="N312" s="18">
        <v>1740000</v>
      </c>
      <c r="O312" s="15" t="s">
        <v>23</v>
      </c>
      <c r="Q312" s="13">
        <v>3357</v>
      </c>
      <c r="R312" s="13" t="s">
        <v>134</v>
      </c>
      <c r="S312" s="13" t="s">
        <v>142</v>
      </c>
      <c r="T312" s="13" t="s">
        <v>16</v>
      </c>
      <c r="U312" s="17">
        <f t="shared" si="11"/>
        <v>0</v>
      </c>
    </row>
    <row r="313" spans="1:21" x14ac:dyDescent="0.3">
      <c r="A313" s="13">
        <v>286</v>
      </c>
      <c r="B313" s="13" t="str">
        <f>+VLOOKUP(A313,'[1]PA 2023'!$A$8:$E$84,5)</f>
        <v>Mantener el beneficio al 100% de los ediles con pago de EPS, ARL, póliza de vida y dotación.</v>
      </c>
      <c r="C313" s="14">
        <v>2022680010029</v>
      </c>
      <c r="D313" s="14" t="str">
        <f>+VLOOKUP(C313,'[1]PA 2023'!$G$8:$H$84,2,FALSE)</f>
        <v>FORTALECIMIENTO DE LA PARTICIPACIÓN CIUDADANA EN EL MUNICIPIO DE BUCARAMANGA</v>
      </c>
      <c r="E313" s="13" t="s">
        <v>1017</v>
      </c>
      <c r="F313" s="15" t="s">
        <v>22</v>
      </c>
      <c r="G313" s="22" t="s">
        <v>23</v>
      </c>
      <c r="H313" s="21" t="s">
        <v>23</v>
      </c>
      <c r="I313" s="13" t="s">
        <v>143</v>
      </c>
      <c r="J313" s="13" t="s">
        <v>133</v>
      </c>
      <c r="K313" s="16">
        <v>44995</v>
      </c>
      <c r="L313" s="17">
        <v>1015000</v>
      </c>
      <c r="M313" s="17">
        <v>1015000</v>
      </c>
      <c r="N313" s="18">
        <v>1015000</v>
      </c>
      <c r="O313" s="15" t="s">
        <v>23</v>
      </c>
      <c r="Q313" s="13">
        <v>3358</v>
      </c>
      <c r="R313" s="13" t="s">
        <v>134</v>
      </c>
      <c r="S313" s="13" t="s">
        <v>144</v>
      </c>
      <c r="T313" s="13" t="s">
        <v>16</v>
      </c>
      <c r="U313" s="17">
        <f t="shared" si="11"/>
        <v>0</v>
      </c>
    </row>
    <row r="314" spans="1:21" x14ac:dyDescent="0.3">
      <c r="A314" s="13">
        <v>286</v>
      </c>
      <c r="B314" s="13" t="str">
        <f>+VLOOKUP(A314,'[1]PA 2023'!$A$8:$E$84,5)</f>
        <v>Mantener el beneficio al 100% de los ediles con pago de EPS, ARL, póliza de vida y dotación.</v>
      </c>
      <c r="C314" s="14">
        <v>2022680010029</v>
      </c>
      <c r="D314" s="14" t="str">
        <f>+VLOOKUP(C314,'[1]PA 2023'!$G$8:$H$84,2,FALSE)</f>
        <v>FORTALECIMIENTO DE LA PARTICIPACIÓN CIUDADANA EN EL MUNICIPIO DE BUCARAMANGA</v>
      </c>
      <c r="E314" s="13" t="s">
        <v>1017</v>
      </c>
      <c r="F314" s="15" t="s">
        <v>22</v>
      </c>
      <c r="G314" s="22" t="s">
        <v>23</v>
      </c>
      <c r="H314" s="21" t="s">
        <v>23</v>
      </c>
      <c r="I314" s="13" t="s">
        <v>145</v>
      </c>
      <c r="J314" s="13" t="s">
        <v>133</v>
      </c>
      <c r="K314" s="16">
        <v>44995</v>
      </c>
      <c r="L314" s="17">
        <v>580000</v>
      </c>
      <c r="M314" s="17">
        <v>580000</v>
      </c>
      <c r="N314" s="18">
        <v>580000</v>
      </c>
      <c r="O314" s="15" t="s">
        <v>23</v>
      </c>
      <c r="Q314" s="13">
        <v>3359</v>
      </c>
      <c r="R314" s="13" t="s">
        <v>134</v>
      </c>
      <c r="S314" s="13" t="s">
        <v>146</v>
      </c>
      <c r="T314" s="13" t="s">
        <v>16</v>
      </c>
      <c r="U314" s="17">
        <f t="shared" si="11"/>
        <v>0</v>
      </c>
    </row>
    <row r="315" spans="1:21" x14ac:dyDescent="0.3">
      <c r="A315" s="13">
        <v>286</v>
      </c>
      <c r="B315" s="13" t="str">
        <f>+VLOOKUP(A315,'[1]PA 2023'!$A$8:$E$84,5)</f>
        <v>Mantener el beneficio al 100% de los ediles con pago de EPS, ARL, póliza de vida y dotación.</v>
      </c>
      <c r="C315" s="14">
        <v>2022680010029</v>
      </c>
      <c r="D315" s="14" t="str">
        <f>+VLOOKUP(C315,'[1]PA 2023'!$G$8:$H$84,2,FALSE)</f>
        <v>FORTALECIMIENTO DE LA PARTICIPACIÓN CIUDADANA EN EL MUNICIPIO DE BUCARAMANGA</v>
      </c>
      <c r="E315" s="13" t="s">
        <v>1017</v>
      </c>
      <c r="F315" s="15" t="s">
        <v>22</v>
      </c>
      <c r="G315" s="22" t="s">
        <v>23</v>
      </c>
      <c r="H315" s="21" t="s">
        <v>23</v>
      </c>
      <c r="I315" s="13" t="s">
        <v>147</v>
      </c>
      <c r="J315" s="13" t="s">
        <v>133</v>
      </c>
      <c r="K315" s="16">
        <v>44995</v>
      </c>
      <c r="L315" s="17">
        <v>4495000</v>
      </c>
      <c r="M315" s="17">
        <v>4495000</v>
      </c>
      <c r="N315" s="18">
        <v>4495000</v>
      </c>
      <c r="O315" s="15" t="s">
        <v>23</v>
      </c>
      <c r="Q315" s="13">
        <v>3360</v>
      </c>
      <c r="R315" s="13" t="s">
        <v>134</v>
      </c>
      <c r="S315" s="13" t="s">
        <v>148</v>
      </c>
      <c r="T315" s="13" t="s">
        <v>16</v>
      </c>
      <c r="U315" s="17">
        <f t="shared" si="11"/>
        <v>0</v>
      </c>
    </row>
    <row r="316" spans="1:21" x14ac:dyDescent="0.3">
      <c r="A316" s="13">
        <v>286</v>
      </c>
      <c r="B316" s="13" t="str">
        <f>+VLOOKUP(A316,'[1]PA 2023'!$A$8:$E$84,5)</f>
        <v>Mantener el beneficio al 100% de los ediles con pago de EPS, ARL, póliza de vida y dotación.</v>
      </c>
      <c r="C316" s="14">
        <v>2022680010029</v>
      </c>
      <c r="D316" s="14" t="str">
        <f>+VLOOKUP(C316,'[1]PA 2023'!$G$8:$H$84,2,FALSE)</f>
        <v>FORTALECIMIENTO DE LA PARTICIPACIÓN CIUDADANA EN EL MUNICIPIO DE BUCARAMANGA</v>
      </c>
      <c r="E316" s="13" t="s">
        <v>1017</v>
      </c>
      <c r="F316" s="15" t="s">
        <v>22</v>
      </c>
      <c r="G316" s="22" t="s">
        <v>23</v>
      </c>
      <c r="H316" s="21" t="s">
        <v>23</v>
      </c>
      <c r="I316" s="13" t="s">
        <v>147</v>
      </c>
      <c r="J316" s="13" t="s">
        <v>133</v>
      </c>
      <c r="K316" s="16">
        <v>44995</v>
      </c>
      <c r="L316" s="17">
        <v>290000</v>
      </c>
      <c r="M316" s="17">
        <v>290000</v>
      </c>
      <c r="N316" s="18">
        <v>290000</v>
      </c>
      <c r="O316" s="15" t="s">
        <v>23</v>
      </c>
      <c r="Q316" s="13">
        <v>3361</v>
      </c>
      <c r="R316" s="13" t="s">
        <v>134</v>
      </c>
      <c r="S316" s="13" t="s">
        <v>148</v>
      </c>
      <c r="T316" s="13" t="s">
        <v>16</v>
      </c>
      <c r="U316" s="17">
        <f t="shared" si="11"/>
        <v>0</v>
      </c>
    </row>
    <row r="317" spans="1:21" x14ac:dyDescent="0.3">
      <c r="A317" s="13">
        <v>286</v>
      </c>
      <c r="B317" s="13" t="str">
        <f>+VLOOKUP(A317,'[1]PA 2023'!$A$8:$E$84,5)</f>
        <v>Mantener el beneficio al 100% de los ediles con pago de EPS, ARL, póliza de vida y dotación.</v>
      </c>
      <c r="C317" s="14">
        <v>2022680010029</v>
      </c>
      <c r="D317" s="14" t="str">
        <f>+VLOOKUP(C317,'[1]PA 2023'!$G$8:$H$84,2,FALSE)</f>
        <v>FORTALECIMIENTO DE LA PARTICIPACIÓN CIUDADANA EN EL MUNICIPIO DE BUCARAMANGA</v>
      </c>
      <c r="E317" s="13" t="s">
        <v>1018</v>
      </c>
      <c r="F317" s="15" t="s">
        <v>22</v>
      </c>
      <c r="G317" s="22" t="s">
        <v>23</v>
      </c>
      <c r="H317" s="21" t="s">
        <v>23</v>
      </c>
      <c r="I317" s="13" t="s">
        <v>149</v>
      </c>
      <c r="J317" s="13" t="s">
        <v>133</v>
      </c>
      <c r="K317" s="16">
        <v>44995</v>
      </c>
      <c r="L317" s="17">
        <v>870000</v>
      </c>
      <c r="M317" s="17">
        <v>870000</v>
      </c>
      <c r="N317" s="18">
        <v>870000</v>
      </c>
      <c r="O317" s="15" t="s">
        <v>23</v>
      </c>
      <c r="Q317" s="13">
        <v>3362</v>
      </c>
      <c r="R317" s="13" t="s">
        <v>134</v>
      </c>
      <c r="S317" s="13" t="s">
        <v>150</v>
      </c>
      <c r="T317" s="13" t="s">
        <v>16</v>
      </c>
      <c r="U317" s="17">
        <f t="shared" si="11"/>
        <v>0</v>
      </c>
    </row>
    <row r="318" spans="1:21" x14ac:dyDescent="0.3">
      <c r="A318" s="13">
        <v>286</v>
      </c>
      <c r="B318" s="13" t="str">
        <f>+VLOOKUP(A318,'[1]PA 2023'!$A$8:$E$84,5)</f>
        <v>Mantener el beneficio al 100% de los ediles con pago de EPS, ARL, póliza de vida y dotación.</v>
      </c>
      <c r="C318" s="14">
        <v>2022680010029</v>
      </c>
      <c r="D318" s="14" t="str">
        <f>+VLOOKUP(C318,'[1]PA 2023'!$G$8:$H$84,2,FALSE)</f>
        <v>FORTALECIMIENTO DE LA PARTICIPACIÓN CIUDADANA EN EL MUNICIPIO DE BUCARAMANGA</v>
      </c>
      <c r="E318" s="13" t="s">
        <v>1017</v>
      </c>
      <c r="F318" s="15" t="s">
        <v>22</v>
      </c>
      <c r="G318" s="22" t="s">
        <v>23</v>
      </c>
      <c r="H318" s="21" t="s">
        <v>23</v>
      </c>
      <c r="I318" s="13" t="s">
        <v>151</v>
      </c>
      <c r="J318" s="13" t="s">
        <v>133</v>
      </c>
      <c r="K318" s="16">
        <v>44995</v>
      </c>
      <c r="L318" s="17">
        <v>3335000</v>
      </c>
      <c r="M318" s="17">
        <v>3335000</v>
      </c>
      <c r="N318" s="18">
        <v>3335000</v>
      </c>
      <c r="O318" s="15" t="s">
        <v>23</v>
      </c>
      <c r="Q318" s="13">
        <v>3363</v>
      </c>
      <c r="R318" s="13" t="s">
        <v>134</v>
      </c>
      <c r="S318" s="13" t="s">
        <v>152</v>
      </c>
      <c r="T318" s="13" t="s">
        <v>16</v>
      </c>
      <c r="U318" s="17">
        <f t="shared" si="11"/>
        <v>0</v>
      </c>
    </row>
    <row r="319" spans="1:21" x14ac:dyDescent="0.3">
      <c r="A319" s="13">
        <v>286</v>
      </c>
      <c r="B319" s="13" t="str">
        <f>+VLOOKUP(A319,'[1]PA 2023'!$A$8:$E$84,5)</f>
        <v>Mantener el beneficio al 100% de los ediles con pago de EPS, ARL, póliza de vida y dotación.</v>
      </c>
      <c r="C319" s="14">
        <v>2022680010029</v>
      </c>
      <c r="D319" s="14" t="str">
        <f>+VLOOKUP(C319,'[1]PA 2023'!$G$8:$H$84,2,FALSE)</f>
        <v>FORTALECIMIENTO DE LA PARTICIPACIÓN CIUDADANA EN EL MUNICIPIO DE BUCARAMANGA</v>
      </c>
      <c r="E319" s="13" t="s">
        <v>1017</v>
      </c>
      <c r="F319" s="15" t="s">
        <v>22</v>
      </c>
      <c r="G319" s="22" t="s">
        <v>23</v>
      </c>
      <c r="H319" s="21" t="s">
        <v>23</v>
      </c>
      <c r="I319" s="13" t="s">
        <v>153</v>
      </c>
      <c r="J319" s="13" t="s">
        <v>133</v>
      </c>
      <c r="K319" s="16">
        <v>44995</v>
      </c>
      <c r="L319" s="17">
        <v>2610000</v>
      </c>
      <c r="M319" s="17">
        <v>2610000</v>
      </c>
      <c r="N319" s="18">
        <v>2610000</v>
      </c>
      <c r="O319" s="15" t="s">
        <v>23</v>
      </c>
      <c r="Q319" s="13">
        <v>3364</v>
      </c>
      <c r="R319" s="13" t="s">
        <v>134</v>
      </c>
      <c r="S319" s="13" t="s">
        <v>154</v>
      </c>
      <c r="T319" s="13" t="s">
        <v>16</v>
      </c>
      <c r="U319" s="17">
        <f t="shared" si="11"/>
        <v>0</v>
      </c>
    </row>
    <row r="320" spans="1:21" x14ac:dyDescent="0.3">
      <c r="A320" s="13">
        <v>300</v>
      </c>
      <c r="B320" s="13" t="str">
        <f>+VLOOKUP(A320,'[1]PA 2023'!$A$8:$E$84,5)</f>
        <v>Mantener el 100% de los programas que desarrolla la Administración Central.</v>
      </c>
      <c r="C320" s="14">
        <v>2020680010025</v>
      </c>
      <c r="D320" s="14" t="str">
        <f>+VLOOKUP(C320,'[1]PA 2023'!$G$8:$H$84,2,FALSE)</f>
        <v>MEJORAMIENTO DE LOS PROCESOS TRANSVERSALES PARA UNA ADMINISTRACIÓN PUBLICA MODERNA Y EFICIENTE EN LA SECRETARÍA DE DESARROLLO SOCIAL DEL MUNICIPIO BUCARAMANGA</v>
      </c>
      <c r="E320" s="13" t="s">
        <v>1019</v>
      </c>
      <c r="F320" s="15">
        <v>1730</v>
      </c>
      <c r="G320" s="21" t="s">
        <v>43</v>
      </c>
      <c r="H320" s="21" t="s">
        <v>36</v>
      </c>
      <c r="I320" s="13" t="s">
        <v>1020</v>
      </c>
      <c r="J320" s="13" t="s">
        <v>38</v>
      </c>
      <c r="K320" s="16">
        <v>44995</v>
      </c>
      <c r="L320" s="17">
        <v>8000000</v>
      </c>
      <c r="M320" s="17">
        <v>8000000</v>
      </c>
      <c r="N320" s="18">
        <f>2100000+3000000+2900000</f>
        <v>8000000</v>
      </c>
      <c r="O320" s="22" t="s">
        <v>1021</v>
      </c>
      <c r="Q320" s="13">
        <v>3366</v>
      </c>
      <c r="R320" s="13" t="s">
        <v>40</v>
      </c>
      <c r="S320" s="13" t="s">
        <v>1022</v>
      </c>
      <c r="T320" s="13" t="s">
        <v>16</v>
      </c>
      <c r="U320" s="17">
        <f t="shared" si="11"/>
        <v>0</v>
      </c>
    </row>
    <row r="321" spans="1:21" x14ac:dyDescent="0.3">
      <c r="A321" s="13">
        <v>286</v>
      </c>
      <c r="B321" s="13" t="str">
        <f>+VLOOKUP(A321,'[1]PA 2023'!$A$8:$E$84,5)</f>
        <v>Mantener el beneficio al 100% de los ediles con pago de EPS, ARL, póliza de vida y dotación.</v>
      </c>
      <c r="C321" s="14">
        <v>2022680010029</v>
      </c>
      <c r="D321" s="14" t="str">
        <f>+VLOOKUP(C321,'[1]PA 2023'!$G$8:$H$84,2,FALSE)</f>
        <v>FORTALECIMIENTO DE LA PARTICIPACIÓN CIUDADANA EN EL MUNICIPIO DE BUCARAMANGA</v>
      </c>
      <c r="E321" s="13" t="s">
        <v>1017</v>
      </c>
      <c r="F321" s="15" t="s">
        <v>22</v>
      </c>
      <c r="G321" s="22" t="s">
        <v>23</v>
      </c>
      <c r="H321" s="21" t="s">
        <v>23</v>
      </c>
      <c r="I321" s="13" t="s">
        <v>139</v>
      </c>
      <c r="J321" s="13" t="s">
        <v>133</v>
      </c>
      <c r="K321" s="16">
        <v>44995</v>
      </c>
      <c r="L321" s="17">
        <v>870000</v>
      </c>
      <c r="M321" s="17">
        <v>870000</v>
      </c>
      <c r="N321" s="18">
        <v>870000</v>
      </c>
      <c r="O321" s="15" t="s">
        <v>23</v>
      </c>
      <c r="Q321" s="13">
        <v>3367</v>
      </c>
      <c r="R321" s="13" t="s">
        <v>134</v>
      </c>
      <c r="S321" s="13" t="s">
        <v>140</v>
      </c>
      <c r="T321" s="13" t="s">
        <v>16</v>
      </c>
      <c r="U321" s="17">
        <f t="shared" si="11"/>
        <v>0</v>
      </c>
    </row>
    <row r="322" spans="1:21" x14ac:dyDescent="0.3">
      <c r="A322" s="13">
        <v>93</v>
      </c>
      <c r="B322" s="13" t="str">
        <f>+VLOOKUP(A322,'[1]PA 2023'!$A$8:$E$84,5)</f>
        <v>Mantener en funcionamiento los 3 Centros Vida con la prestacion de servicios integrales y/o dotacion de los mismos cumpliendo con la oferta institucional.</v>
      </c>
      <c r="C322" s="14">
        <v>2020680010040</v>
      </c>
      <c r="D322" s="14" t="str">
        <f>+VLOOKUP(C322,'[1]PA 2023'!$G$8:$H$84,2,FALSE)</f>
        <v>IMPLEMENTACIÓN DE ACCIONES TENDIENTES A MEJORAR LAS CONDICIONES DE LOS ADULTOS MAYORES DEL MUNICIPIO DE BUCARAMANGA</v>
      </c>
      <c r="E322" s="13" t="s">
        <v>1023</v>
      </c>
      <c r="F322" s="15" t="s">
        <v>22</v>
      </c>
      <c r="G322" s="22" t="s">
        <v>23</v>
      </c>
      <c r="H322" s="21" t="s">
        <v>23</v>
      </c>
      <c r="I322" s="13" t="s">
        <v>29</v>
      </c>
      <c r="J322" s="13" t="s">
        <v>25</v>
      </c>
      <c r="K322" s="16">
        <v>44998</v>
      </c>
      <c r="L322" s="17">
        <v>48660</v>
      </c>
      <c r="M322" s="17">
        <v>48660</v>
      </c>
      <c r="N322" s="18">
        <v>48660</v>
      </c>
      <c r="O322" s="15" t="s">
        <v>23</v>
      </c>
      <c r="Q322" s="13">
        <v>3385</v>
      </c>
      <c r="R322" s="13" t="s">
        <v>26</v>
      </c>
      <c r="S322" s="13" t="s">
        <v>30</v>
      </c>
      <c r="T322" s="13" t="s">
        <v>16</v>
      </c>
      <c r="U322" s="17">
        <f t="shared" si="11"/>
        <v>0</v>
      </c>
    </row>
    <row r="323" spans="1:21" x14ac:dyDescent="0.3">
      <c r="A323" s="13">
        <v>283</v>
      </c>
      <c r="B323" s="13" t="str">
        <f>+VLOOKUP(A323,'[1]PA 2023'!$A$8:$E$84,5)</f>
        <v>Formular e implementar 1 estrategia que fortalezca la democracia participativa (Ley 1757 de 2015).</v>
      </c>
      <c r="C323" s="14">
        <v>2022680010029</v>
      </c>
      <c r="D323" s="14" t="str">
        <f>+VLOOKUP(C323,'[1]PA 2023'!$G$8:$H$84,2,FALSE)</f>
        <v>FORTALECIMIENTO DE LA PARTICIPACIÓN CIUDADANA EN EL MUNICIPIO DE BUCARAMANGA</v>
      </c>
      <c r="E323" s="13" t="s">
        <v>677</v>
      </c>
      <c r="F323" s="15">
        <v>1738</v>
      </c>
      <c r="G323" s="21" t="s">
        <v>43</v>
      </c>
      <c r="H323" s="21" t="s">
        <v>36</v>
      </c>
      <c r="I323" s="13" t="s">
        <v>1024</v>
      </c>
      <c r="J323" s="13" t="s">
        <v>468</v>
      </c>
      <c r="K323" s="16">
        <v>44998</v>
      </c>
      <c r="L323" s="17">
        <v>8000000</v>
      </c>
      <c r="M323" s="17">
        <v>8000000</v>
      </c>
      <c r="N323" s="18">
        <f>1800000+3000000+3000000+100000</f>
        <v>7900000</v>
      </c>
      <c r="O323" s="22" t="s">
        <v>1025</v>
      </c>
      <c r="Q323" s="13">
        <v>3386</v>
      </c>
      <c r="R323" s="13" t="s">
        <v>134</v>
      </c>
      <c r="S323" s="13" t="s">
        <v>1026</v>
      </c>
      <c r="T323" s="13" t="s">
        <v>16</v>
      </c>
      <c r="U323" s="17">
        <f t="shared" si="11"/>
        <v>100000</v>
      </c>
    </row>
    <row r="324" spans="1:21" x14ac:dyDescent="0.3">
      <c r="A324" s="13">
        <v>285</v>
      </c>
      <c r="B324" s="13" t="str">
        <f>+VLOOKUP(A324,'[1]PA 2023'!$A$8:$E$84,5)</f>
        <v>Mantener en funcionamiento el 100% de los salones comunales que hacen parte del programa Ágoras.</v>
      </c>
      <c r="C324" s="14">
        <v>2022680010029</v>
      </c>
      <c r="D324" s="14" t="str">
        <f>+VLOOKUP(C324,'[1]PA 2023'!$G$8:$H$84,2,FALSE)</f>
        <v>FORTALECIMIENTO DE LA PARTICIPACIÓN CIUDADANA EN EL MUNICIPIO DE BUCARAMANGA</v>
      </c>
      <c r="E324" s="13" t="s">
        <v>1027</v>
      </c>
      <c r="F324" s="15">
        <v>1737</v>
      </c>
      <c r="G324" s="21" t="s">
        <v>35</v>
      </c>
      <c r="H324" s="21" t="s">
        <v>36</v>
      </c>
      <c r="I324" s="13" t="s">
        <v>1028</v>
      </c>
      <c r="J324" s="13" t="s">
        <v>468</v>
      </c>
      <c r="K324" s="16">
        <v>44998</v>
      </c>
      <c r="L324" s="17">
        <v>4800000</v>
      </c>
      <c r="M324" s="17">
        <v>4800000</v>
      </c>
      <c r="N324" s="18">
        <f>1080000+1800000+1800000+60000</f>
        <v>4740000</v>
      </c>
      <c r="O324" s="22" t="s">
        <v>1029</v>
      </c>
      <c r="Q324" s="13">
        <v>3387</v>
      </c>
      <c r="R324" s="13" t="s">
        <v>134</v>
      </c>
      <c r="S324" s="13" t="s">
        <v>1030</v>
      </c>
      <c r="T324" s="13" t="s">
        <v>16</v>
      </c>
      <c r="U324" s="17">
        <f t="shared" si="11"/>
        <v>60000</v>
      </c>
    </row>
    <row r="325" spans="1:21" x14ac:dyDescent="0.3">
      <c r="A325" s="13">
        <v>285</v>
      </c>
      <c r="B325" s="13" t="str">
        <f>+VLOOKUP(A325,'[1]PA 2023'!$A$8:$E$84,5)</f>
        <v>Mantener en funcionamiento el 100% de los salones comunales que hacen parte del programa Ágoras.</v>
      </c>
      <c r="C325" s="14">
        <v>2022680010029</v>
      </c>
      <c r="D325" s="14" t="str">
        <f>+VLOOKUP(C325,'[1]PA 2023'!$G$8:$H$84,2,FALSE)</f>
        <v>FORTALECIMIENTO DE LA PARTICIPACIÓN CIUDADANA EN EL MUNICIPIO DE BUCARAMANGA</v>
      </c>
      <c r="E325" s="13" t="s">
        <v>1027</v>
      </c>
      <c r="F325" s="15">
        <v>1739</v>
      </c>
      <c r="G325" s="21" t="s">
        <v>35</v>
      </c>
      <c r="H325" s="21" t="s">
        <v>36</v>
      </c>
      <c r="I325" s="13" t="s">
        <v>1031</v>
      </c>
      <c r="J325" s="13" t="s">
        <v>468</v>
      </c>
      <c r="K325" s="16">
        <v>44998</v>
      </c>
      <c r="L325" s="17">
        <v>4800000</v>
      </c>
      <c r="M325" s="17">
        <v>4800000</v>
      </c>
      <c r="N325" s="18">
        <f>1080000+1800000+1800000+60000</f>
        <v>4740000</v>
      </c>
      <c r="O325" s="22" t="s">
        <v>1032</v>
      </c>
      <c r="Q325" s="13">
        <v>3411</v>
      </c>
      <c r="R325" s="13" t="s">
        <v>134</v>
      </c>
      <c r="S325" s="13" t="s">
        <v>1033</v>
      </c>
      <c r="T325" s="13" t="s">
        <v>16</v>
      </c>
      <c r="U325" s="17">
        <f t="shared" si="11"/>
        <v>60000</v>
      </c>
    </row>
    <row r="326" spans="1:21" x14ac:dyDescent="0.3">
      <c r="A326" s="13">
        <v>285</v>
      </c>
      <c r="B326" s="13" t="str">
        <f>+VLOOKUP(A326,'[1]PA 2023'!$A$8:$E$84,5)</f>
        <v>Mantener en funcionamiento el 100% de los salones comunales que hacen parte del programa Ágoras.</v>
      </c>
      <c r="C326" s="14">
        <v>2022680010029</v>
      </c>
      <c r="D326" s="14" t="str">
        <f>+VLOOKUP(C326,'[1]PA 2023'!$G$8:$H$84,2,FALSE)</f>
        <v>FORTALECIMIENTO DE LA PARTICIPACIÓN CIUDADANA EN EL MUNICIPIO DE BUCARAMANGA</v>
      </c>
      <c r="E326" s="13" t="s">
        <v>1027</v>
      </c>
      <c r="F326" s="15">
        <v>1740</v>
      </c>
      <c r="G326" s="21" t="s">
        <v>35</v>
      </c>
      <c r="H326" s="21" t="s">
        <v>36</v>
      </c>
      <c r="I326" s="13" t="s">
        <v>1034</v>
      </c>
      <c r="J326" s="13" t="s">
        <v>468</v>
      </c>
      <c r="K326" s="16">
        <v>44998</v>
      </c>
      <c r="L326" s="17">
        <v>4800000</v>
      </c>
      <c r="M326" s="17">
        <v>4800000</v>
      </c>
      <c r="N326" s="18">
        <f>1080000+1800000+1800000+60000</f>
        <v>4740000</v>
      </c>
      <c r="O326" s="22" t="s">
        <v>1035</v>
      </c>
      <c r="Q326" s="13">
        <v>3412</v>
      </c>
      <c r="R326" s="13" t="s">
        <v>134</v>
      </c>
      <c r="S326" s="13" t="s">
        <v>1036</v>
      </c>
      <c r="T326" s="13" t="s">
        <v>16</v>
      </c>
      <c r="U326" s="17">
        <f t="shared" si="11"/>
        <v>60000</v>
      </c>
    </row>
    <row r="327" spans="1:21" x14ac:dyDescent="0.3">
      <c r="A327" s="13">
        <v>285</v>
      </c>
      <c r="B327" s="13" t="str">
        <f>+VLOOKUP(A327,'[1]PA 2023'!$A$8:$E$84,5)</f>
        <v>Mantener en funcionamiento el 100% de los salones comunales que hacen parte del programa Ágoras.</v>
      </c>
      <c r="C327" s="14">
        <v>2022680010029</v>
      </c>
      <c r="D327" s="14" t="str">
        <f>+VLOOKUP(C327,'[1]PA 2023'!$G$8:$H$84,2,FALSE)</f>
        <v>FORTALECIMIENTO DE LA PARTICIPACIÓN CIUDADANA EN EL MUNICIPIO DE BUCARAMANGA</v>
      </c>
      <c r="E327" s="13" t="s">
        <v>1027</v>
      </c>
      <c r="F327" s="15">
        <v>1744</v>
      </c>
      <c r="G327" s="21" t="s">
        <v>35</v>
      </c>
      <c r="H327" s="21" t="s">
        <v>36</v>
      </c>
      <c r="I327" s="13" t="s">
        <v>1037</v>
      </c>
      <c r="J327" s="13" t="s">
        <v>468</v>
      </c>
      <c r="K327" s="16">
        <v>44999</v>
      </c>
      <c r="L327" s="17">
        <v>4500000</v>
      </c>
      <c r="M327" s="17">
        <v>4500000</v>
      </c>
      <c r="N327" s="18">
        <f>1020000+1800000+1680000</f>
        <v>4500000</v>
      </c>
      <c r="O327" s="22" t="s">
        <v>1038</v>
      </c>
      <c r="Q327" s="13">
        <v>3433</v>
      </c>
      <c r="R327" s="13" t="s">
        <v>134</v>
      </c>
      <c r="S327" s="13" t="s">
        <v>1039</v>
      </c>
      <c r="T327" s="13" t="s">
        <v>16</v>
      </c>
      <c r="U327" s="17">
        <f t="shared" si="11"/>
        <v>0</v>
      </c>
    </row>
    <row r="328" spans="1:21" x14ac:dyDescent="0.3">
      <c r="A328" s="13">
        <v>285</v>
      </c>
      <c r="B328" s="13" t="str">
        <f>+VLOOKUP(A328,'[1]PA 2023'!$A$8:$E$84,5)</f>
        <v>Mantener en funcionamiento el 100% de los salones comunales que hacen parte del programa Ágoras.</v>
      </c>
      <c r="C328" s="14">
        <v>2022680010029</v>
      </c>
      <c r="D328" s="14" t="str">
        <f>+VLOOKUP(C328,'[1]PA 2023'!$G$8:$H$84,2,FALSE)</f>
        <v>FORTALECIMIENTO DE LA PARTICIPACIÓN CIUDADANA EN EL MUNICIPIO DE BUCARAMANGA</v>
      </c>
      <c r="E328" s="13" t="s">
        <v>1027</v>
      </c>
      <c r="F328" s="15">
        <v>1745</v>
      </c>
      <c r="G328" s="21" t="s">
        <v>35</v>
      </c>
      <c r="H328" s="21" t="s">
        <v>36</v>
      </c>
      <c r="I328" s="13" t="s">
        <v>1040</v>
      </c>
      <c r="J328" s="13" t="s">
        <v>468</v>
      </c>
      <c r="K328" s="16">
        <v>44999</v>
      </c>
      <c r="L328" s="17">
        <v>4500000</v>
      </c>
      <c r="M328" s="17">
        <v>4500000</v>
      </c>
      <c r="N328" s="18">
        <f>1020000+1680000+1800000</f>
        <v>4500000</v>
      </c>
      <c r="O328" s="22" t="s">
        <v>1041</v>
      </c>
      <c r="Q328" s="13">
        <v>3434</v>
      </c>
      <c r="R328" s="13" t="s">
        <v>134</v>
      </c>
      <c r="S328" s="13" t="s">
        <v>1042</v>
      </c>
      <c r="T328" s="13" t="s">
        <v>16</v>
      </c>
      <c r="U328" s="17">
        <f t="shared" si="11"/>
        <v>0</v>
      </c>
    </row>
    <row r="329" spans="1:21" x14ac:dyDescent="0.3">
      <c r="A329" s="13">
        <v>285</v>
      </c>
      <c r="B329" s="13" t="str">
        <f>+VLOOKUP(A329,'[1]PA 2023'!$A$8:$E$84,5)</f>
        <v>Mantener en funcionamiento el 100% de los salones comunales que hacen parte del programa Ágoras.</v>
      </c>
      <c r="C329" s="14">
        <v>2022680010029</v>
      </c>
      <c r="D329" s="14" t="str">
        <f>+VLOOKUP(C329,'[1]PA 2023'!$G$8:$H$84,2,FALSE)</f>
        <v>FORTALECIMIENTO DE LA PARTICIPACIÓN CIUDADANA EN EL MUNICIPIO DE BUCARAMANGA</v>
      </c>
      <c r="E329" s="13" t="s">
        <v>1027</v>
      </c>
      <c r="F329" s="15">
        <v>1746</v>
      </c>
      <c r="G329" s="21" t="s">
        <v>35</v>
      </c>
      <c r="H329" s="21" t="s">
        <v>36</v>
      </c>
      <c r="I329" s="13" t="s">
        <v>1043</v>
      </c>
      <c r="J329" s="13" t="s">
        <v>468</v>
      </c>
      <c r="K329" s="16">
        <v>44999</v>
      </c>
      <c r="L329" s="17">
        <v>4500000</v>
      </c>
      <c r="M329" s="17">
        <v>4500000</v>
      </c>
      <c r="N329" s="18">
        <f>1020000+1800000+1680000</f>
        <v>4500000</v>
      </c>
      <c r="O329" s="22" t="s">
        <v>1044</v>
      </c>
      <c r="Q329" s="13">
        <v>3435</v>
      </c>
      <c r="R329" s="13" t="s">
        <v>134</v>
      </c>
      <c r="S329" s="13" t="s">
        <v>1045</v>
      </c>
      <c r="T329" s="13" t="s">
        <v>16</v>
      </c>
      <c r="U329" s="17">
        <f t="shared" si="11"/>
        <v>0</v>
      </c>
    </row>
    <row r="330" spans="1:21" x14ac:dyDescent="0.3">
      <c r="A330" s="13">
        <v>283</v>
      </c>
      <c r="B330" s="13" t="str">
        <f>+VLOOKUP(A330,'[1]PA 2023'!$A$8:$E$84,5)</f>
        <v>Formular e implementar 1 estrategia que fortalezca la democracia participativa (Ley 1757 de 2015).</v>
      </c>
      <c r="C330" s="14">
        <v>2022680010029</v>
      </c>
      <c r="D330" s="14" t="str">
        <f>+VLOOKUP(C330,'[1]PA 2023'!$G$8:$H$84,2,FALSE)</f>
        <v>FORTALECIMIENTO DE LA PARTICIPACIÓN CIUDADANA EN EL MUNICIPIO DE BUCARAMANGA</v>
      </c>
      <c r="E330" s="13" t="s">
        <v>677</v>
      </c>
      <c r="F330" s="15">
        <v>1742</v>
      </c>
      <c r="G330" s="21" t="s">
        <v>43</v>
      </c>
      <c r="H330" s="21" t="s">
        <v>36</v>
      </c>
      <c r="I330" s="13" t="s">
        <v>1046</v>
      </c>
      <c r="J330" s="13" t="s">
        <v>468</v>
      </c>
      <c r="K330" s="16">
        <v>44999</v>
      </c>
      <c r="L330" s="17">
        <v>8000000</v>
      </c>
      <c r="M330" s="17">
        <v>8000000</v>
      </c>
      <c r="N330" s="18">
        <f>1700000+3000000+3000000+200000</f>
        <v>7900000</v>
      </c>
      <c r="O330" s="22" t="s">
        <v>1047</v>
      </c>
      <c r="Q330" s="13">
        <v>3436</v>
      </c>
      <c r="R330" s="13" t="s">
        <v>134</v>
      </c>
      <c r="S330" s="13" t="s">
        <v>1048</v>
      </c>
      <c r="T330" s="13" t="s">
        <v>16</v>
      </c>
      <c r="U330" s="17">
        <f t="shared" si="11"/>
        <v>100000</v>
      </c>
    </row>
    <row r="331" spans="1:21" x14ac:dyDescent="0.3">
      <c r="A331" s="13">
        <v>285</v>
      </c>
      <c r="B331" s="13" t="str">
        <f>+VLOOKUP(A331,'[1]PA 2023'!$A$8:$E$84,5)</f>
        <v>Mantener en funcionamiento el 100% de los salones comunales que hacen parte del programa Ágoras.</v>
      </c>
      <c r="C331" s="14">
        <v>2022680010029</v>
      </c>
      <c r="D331" s="14" t="str">
        <f>+VLOOKUP(C331,'[1]PA 2023'!$G$8:$H$84,2,FALSE)</f>
        <v>FORTALECIMIENTO DE LA PARTICIPACIÓN CIUDADANA EN EL MUNICIPIO DE BUCARAMANGA</v>
      </c>
      <c r="E331" s="13" t="s">
        <v>1027</v>
      </c>
      <c r="F331" s="15">
        <v>1754</v>
      </c>
      <c r="G331" s="21" t="s">
        <v>35</v>
      </c>
      <c r="H331" s="21" t="s">
        <v>36</v>
      </c>
      <c r="I331" s="13" t="s">
        <v>1049</v>
      </c>
      <c r="J331" s="13" t="s">
        <v>468</v>
      </c>
      <c r="K331" s="16">
        <v>44999</v>
      </c>
      <c r="L331" s="17">
        <v>4500000</v>
      </c>
      <c r="M331" s="17">
        <v>4500000</v>
      </c>
      <c r="N331" s="18">
        <f>960000+1800000+1740000</f>
        <v>4500000</v>
      </c>
      <c r="O331" s="22" t="s">
        <v>1050</v>
      </c>
      <c r="Q331" s="13">
        <v>3444</v>
      </c>
      <c r="R331" s="13" t="s">
        <v>134</v>
      </c>
      <c r="S331" s="13" t="s">
        <v>1051</v>
      </c>
      <c r="T331" s="13" t="s">
        <v>16</v>
      </c>
      <c r="U331" s="17">
        <f t="shared" si="11"/>
        <v>0</v>
      </c>
    </row>
    <row r="332" spans="1:21" x14ac:dyDescent="0.3">
      <c r="A332" s="13">
        <v>99</v>
      </c>
      <c r="B332" s="13" t="str">
        <f>+VLOOKUP(A332,'[1]PA 2023'!$A$8:$E$84,5)</f>
        <v>Formular e implementar 1 estrategia para brindar asistencia social a la población afectada por las diferentes emergencias y particularmente COVID-19.</v>
      </c>
      <c r="C332" s="14">
        <v>2022680010036</v>
      </c>
      <c r="D332" s="14" t="str">
        <f>+VLOOKUP(C332,'[1]PA 2023'!$G$8:$H$84,2,FALSE)</f>
        <v>IMPLEMENTACIÓN DE ACCIONES DE ASISTENCIA SOCIAL ORIENTADAS A LA POBLACIÓN AFECTADA POR LAS DIFERENTES EMERGENCIAS SOCIALES, NATURALES, SANITARIAS ANTRÓPICAS O EN SITUACIÓN DE VULNERABILIDAD EN EL MUNICIPIO DE BUCARAMANGA</v>
      </c>
      <c r="E332" s="13" t="s">
        <v>1052</v>
      </c>
      <c r="F332" s="15">
        <v>1753</v>
      </c>
      <c r="G332" s="21" t="s">
        <v>43</v>
      </c>
      <c r="H332" s="21" t="s">
        <v>36</v>
      </c>
      <c r="I332" s="13" t="s">
        <v>1053</v>
      </c>
      <c r="J332" s="13" t="s">
        <v>538</v>
      </c>
      <c r="K332" s="16">
        <v>44999</v>
      </c>
      <c r="L332" s="17">
        <v>5000000</v>
      </c>
      <c r="M332" s="17">
        <v>5000000</v>
      </c>
      <c r="N332" s="18">
        <f>1066666.67+2000000+1933333.33</f>
        <v>5000000</v>
      </c>
      <c r="O332" s="22" t="s">
        <v>1054</v>
      </c>
      <c r="Q332" s="13">
        <v>3445</v>
      </c>
      <c r="R332" s="13" t="s">
        <v>540</v>
      </c>
      <c r="S332" s="13" t="s">
        <v>1055</v>
      </c>
      <c r="T332" s="13" t="s">
        <v>16</v>
      </c>
      <c r="U332" s="17">
        <f t="shared" si="11"/>
        <v>0</v>
      </c>
    </row>
    <row r="333" spans="1:21" x14ac:dyDescent="0.3">
      <c r="A333" s="13">
        <v>283</v>
      </c>
      <c r="B333" s="13" t="str">
        <f>+VLOOKUP(A333,'[1]PA 2023'!$A$8:$E$84,5)</f>
        <v>Formular e implementar 1 estrategia que fortalezca la democracia participativa (Ley 1757 de 2015).</v>
      </c>
      <c r="C333" s="14">
        <v>2022680010029</v>
      </c>
      <c r="D333" s="14" t="str">
        <f>+VLOOKUP(C333,'[1]PA 2023'!$G$8:$H$84,2,FALSE)</f>
        <v>FORTALECIMIENTO DE LA PARTICIPACIÓN CIUDADANA EN EL MUNICIPIO DE BUCARAMANGA</v>
      </c>
      <c r="E333" s="13" t="s">
        <v>1056</v>
      </c>
      <c r="F333" s="15">
        <v>1756</v>
      </c>
      <c r="G333" s="21" t="s">
        <v>35</v>
      </c>
      <c r="H333" s="21" t="s">
        <v>36</v>
      </c>
      <c r="I333" s="13" t="s">
        <v>1057</v>
      </c>
      <c r="J333" s="13" t="s">
        <v>468</v>
      </c>
      <c r="K333" s="16">
        <v>44999</v>
      </c>
      <c r="L333" s="17">
        <v>4500000</v>
      </c>
      <c r="M333" s="17">
        <v>4500000</v>
      </c>
      <c r="N333" s="18">
        <f>960000+1800000+1740000</f>
        <v>4500000</v>
      </c>
      <c r="O333" s="22" t="s">
        <v>1058</v>
      </c>
      <c r="Q333" s="13">
        <v>3446</v>
      </c>
      <c r="R333" s="13" t="s">
        <v>134</v>
      </c>
      <c r="S333" s="13" t="s">
        <v>1059</v>
      </c>
      <c r="T333" s="13" t="s">
        <v>16</v>
      </c>
      <c r="U333" s="17">
        <f t="shared" si="11"/>
        <v>0</v>
      </c>
    </row>
    <row r="334" spans="1:21" x14ac:dyDescent="0.3">
      <c r="A334" s="13">
        <v>206</v>
      </c>
      <c r="B334" s="13" t="str">
        <f>+VLOOKUP(A334,'[1]PA 2023'!$A$8:$E$84,5)</f>
        <v>Mantener el Plan General de Asistencia Técnica.</v>
      </c>
      <c r="C334" s="14">
        <v>2020680010123</v>
      </c>
      <c r="D334" s="14" t="str">
        <f>+VLOOKUP(C334,'[1]PA 2023'!$G$8:$H$84,2,FALSE)</f>
        <v>FORTALECIMIENTO DE LA PRODUCTIVIDAD Y COMPETITIVIDAD AGROPECUARIA EN EL SECTOR RURAL DEL MUNICIPIO DE BUCARAMANGA</v>
      </c>
      <c r="E334" s="13" t="s">
        <v>1060</v>
      </c>
      <c r="F334" s="15">
        <v>1760</v>
      </c>
      <c r="G334" s="22" t="s">
        <v>35</v>
      </c>
      <c r="H334" s="21" t="s">
        <v>36</v>
      </c>
      <c r="I334" s="13" t="s">
        <v>1061</v>
      </c>
      <c r="J334" s="13" t="s">
        <v>665</v>
      </c>
      <c r="K334" s="16">
        <v>45000</v>
      </c>
      <c r="L334" s="17">
        <v>5333333.33</v>
      </c>
      <c r="M334" s="17">
        <v>5333333.33</v>
      </c>
      <c r="N334" s="18">
        <f>1066666.67+2000000+2000000+200000</f>
        <v>5266666.67</v>
      </c>
      <c r="O334" s="22" t="s">
        <v>1062</v>
      </c>
      <c r="Q334" s="13">
        <v>3497</v>
      </c>
      <c r="R334" s="13" t="s">
        <v>667</v>
      </c>
      <c r="S334" s="13" t="s">
        <v>1063</v>
      </c>
      <c r="T334" s="13" t="s">
        <v>16</v>
      </c>
      <c r="U334" s="17">
        <f t="shared" si="11"/>
        <v>66666.660000000149</v>
      </c>
    </row>
    <row r="335" spans="1:21" x14ac:dyDescent="0.3">
      <c r="A335" s="13">
        <v>99</v>
      </c>
      <c r="B335" s="13" t="str">
        <f>+VLOOKUP(A335,'[1]PA 2023'!$A$8:$E$84,5)</f>
        <v>Formular e implementar 1 estrategia para brindar asistencia social a la población afectada por las diferentes emergencias y particularmente COVID-19.</v>
      </c>
      <c r="C335" s="14">
        <v>2022680010036</v>
      </c>
      <c r="D335" s="14" t="str">
        <f>+VLOOKUP(C335,'[1]PA 2023'!$G$8:$H$84,2,FALSE)</f>
        <v>IMPLEMENTACIÓN DE ACCIONES DE ASISTENCIA SOCIAL ORIENTADAS A LA POBLACIÓN AFECTADA POR LAS DIFERENTES EMERGENCIAS SOCIALES, NATURALES, SANITARIAS ANTRÓPICAS O EN SITUACIÓN DE VULNERABILIDAD EN EL MUNICIPIO DE BUCARAMANGA</v>
      </c>
      <c r="E335" s="13" t="s">
        <v>1064</v>
      </c>
      <c r="F335" s="15">
        <v>1763</v>
      </c>
      <c r="G335" s="22" t="s">
        <v>35</v>
      </c>
      <c r="H335" s="21" t="s">
        <v>36</v>
      </c>
      <c r="I335" s="13" t="s">
        <v>1065</v>
      </c>
      <c r="J335" s="13" t="s">
        <v>538</v>
      </c>
      <c r="K335" s="16">
        <v>45000</v>
      </c>
      <c r="L335" s="17">
        <v>4500000</v>
      </c>
      <c r="M335" s="17">
        <v>4500000</v>
      </c>
      <c r="N335" s="18">
        <f>960000+1800000+1740000</f>
        <v>4500000</v>
      </c>
      <c r="O335" s="22" t="s">
        <v>1066</v>
      </c>
      <c r="Q335" s="13">
        <v>3498</v>
      </c>
      <c r="R335" s="13" t="s">
        <v>540</v>
      </c>
      <c r="S335" s="13" t="s">
        <v>1067</v>
      </c>
      <c r="T335" s="13" t="s">
        <v>16</v>
      </c>
      <c r="U335" s="17">
        <f t="shared" si="11"/>
        <v>0</v>
      </c>
    </row>
    <row r="336" spans="1:21" x14ac:dyDescent="0.3">
      <c r="A336" s="13">
        <v>99</v>
      </c>
      <c r="B336" s="13" t="str">
        <f>+VLOOKUP(A336,'[1]PA 2023'!$A$8:$E$84,5)</f>
        <v>Formular e implementar 1 estrategia para brindar asistencia social a la población afectada por las diferentes emergencias y particularmente COVID-19.</v>
      </c>
      <c r="C336" s="14">
        <v>2022680010036</v>
      </c>
      <c r="D336" s="14" t="str">
        <f>+VLOOKUP(C336,'[1]PA 2023'!$G$8:$H$84,2,FALSE)</f>
        <v>IMPLEMENTACIÓN DE ACCIONES DE ASISTENCIA SOCIAL ORIENTADAS A LA POBLACIÓN AFECTADA POR LAS DIFERENTES EMERGENCIAS SOCIALES, NATURALES, SANITARIAS ANTRÓPICAS O EN SITUACIÓN DE VULNERABILIDAD EN EL MUNICIPIO DE BUCARAMANGA</v>
      </c>
      <c r="E336" s="13" t="s">
        <v>1064</v>
      </c>
      <c r="F336" s="15">
        <v>1762</v>
      </c>
      <c r="G336" s="22" t="s">
        <v>35</v>
      </c>
      <c r="H336" s="21" t="s">
        <v>36</v>
      </c>
      <c r="I336" s="13" t="s">
        <v>1068</v>
      </c>
      <c r="J336" s="13" t="s">
        <v>538</v>
      </c>
      <c r="K336" s="16">
        <v>45000</v>
      </c>
      <c r="L336" s="17">
        <v>4500000</v>
      </c>
      <c r="M336" s="17">
        <v>4500000</v>
      </c>
      <c r="N336" s="18">
        <v>960000</v>
      </c>
      <c r="O336" s="22" t="s">
        <v>1069</v>
      </c>
      <c r="Q336" s="13">
        <v>3499</v>
      </c>
      <c r="R336" s="23" t="s">
        <v>540</v>
      </c>
      <c r="S336" s="13" t="s">
        <v>1070</v>
      </c>
      <c r="T336" s="13" t="s">
        <v>16</v>
      </c>
      <c r="U336" s="17">
        <f>+M336-N336+M454</f>
        <v>2522217.23</v>
      </c>
    </row>
    <row r="337" spans="1:21" x14ac:dyDescent="0.3">
      <c r="A337" s="13">
        <v>93</v>
      </c>
      <c r="B337" s="13" t="str">
        <f>+VLOOKUP(A337,'[1]PA 2023'!$A$8:$E$84,5)</f>
        <v>Mantener en funcionamiento los 3 Centros Vida con la prestacion de servicios integrales y/o dotacion de los mismos cumpliendo con la oferta institucional.</v>
      </c>
      <c r="C337" s="14">
        <v>2020680010040</v>
      </c>
      <c r="D337" s="14" t="str">
        <f>+VLOOKUP(C337,'[1]PA 2023'!$G$8:$H$84,2,FALSE)</f>
        <v>IMPLEMENTACIÓN DE ACCIONES TENDIENTES A MEJORAR LAS CONDICIONES DE LOS ADULTOS MAYORES DEL MUNICIPIO DE BUCARAMANGA</v>
      </c>
      <c r="E337" s="13" t="s">
        <v>1071</v>
      </c>
      <c r="F337" s="15" t="s">
        <v>22</v>
      </c>
      <c r="G337" s="22" t="s">
        <v>23</v>
      </c>
      <c r="H337" s="21" t="s">
        <v>23</v>
      </c>
      <c r="I337" s="13" t="s">
        <v>470</v>
      </c>
      <c r="J337" s="13" t="s">
        <v>25</v>
      </c>
      <c r="K337" s="16">
        <v>45000</v>
      </c>
      <c r="L337" s="17">
        <v>579198</v>
      </c>
      <c r="M337" s="17">
        <v>579198</v>
      </c>
      <c r="N337" s="18">
        <v>579198</v>
      </c>
      <c r="O337" s="15" t="s">
        <v>23</v>
      </c>
      <c r="Q337" s="13">
        <v>3516</v>
      </c>
      <c r="R337" s="23" t="s">
        <v>26</v>
      </c>
      <c r="S337" s="13" t="s">
        <v>471</v>
      </c>
      <c r="T337" s="13" t="s">
        <v>16</v>
      </c>
      <c r="U337" s="17">
        <f>+M337-N337</f>
        <v>0</v>
      </c>
    </row>
    <row r="338" spans="1:21" x14ac:dyDescent="0.3">
      <c r="A338" s="13">
        <v>111</v>
      </c>
      <c r="B338" s="13" t="str">
        <f>+VLOOKUP(A338,'[1]PA 2023'!$A$8:$E$84,5)</f>
        <v xml:space="preserve">Mantener la identificación, caracterización y seguimiento de la situación de cada habitante de calle atendido por la Secretaría de Desarrollo Social. </v>
      </c>
      <c r="C338" s="14">
        <v>2020680010050</v>
      </c>
      <c r="D338" s="14" t="str">
        <f>+VLOOKUP(C338,'[1]PA 2023'!$G$8:$H$84,2,FALSE)</f>
        <v>DESARROLLO DE ACCIONES ENCAMINADAS A GENERAR ATENCIÓN INTEGRAL HACIA LA POBLACIÓN HABITANTES EN SITUACIÓN DE CALLE DEL MUNICIPIO DE BUCARAMANGA</v>
      </c>
      <c r="E338" s="13" t="s">
        <v>1071</v>
      </c>
      <c r="F338" s="15" t="s">
        <v>22</v>
      </c>
      <c r="G338" s="22" t="s">
        <v>23</v>
      </c>
      <c r="H338" s="21" t="s">
        <v>23</v>
      </c>
      <c r="I338" s="13" t="s">
        <v>470</v>
      </c>
      <c r="J338" s="13" t="s">
        <v>768</v>
      </c>
      <c r="K338" s="16">
        <v>45000</v>
      </c>
      <c r="L338" s="17">
        <v>203801</v>
      </c>
      <c r="M338" s="17">
        <v>203801</v>
      </c>
      <c r="N338" s="18">
        <v>203801</v>
      </c>
      <c r="O338" s="15" t="s">
        <v>23</v>
      </c>
      <c r="Q338" s="13">
        <v>3516</v>
      </c>
      <c r="R338" s="23" t="s">
        <v>770</v>
      </c>
      <c r="S338" s="13" t="s">
        <v>471</v>
      </c>
      <c r="T338" s="13" t="s">
        <v>16</v>
      </c>
      <c r="U338" s="17">
        <f>+M338-N338</f>
        <v>0</v>
      </c>
    </row>
    <row r="339" spans="1:21" x14ac:dyDescent="0.3">
      <c r="A339" s="13">
        <v>105</v>
      </c>
      <c r="B339" s="13" t="str">
        <f>+VLOOKUP(A339,'[1]PA 2023'!$A$8:$E$84,5)</f>
        <v>Mantener el Centro Integral de la Mujer a fin de garantizar el fortalecimiento de los procesos de atención y empoderamiento femenino.</v>
      </c>
      <c r="C339" s="14">
        <v>2020680010106</v>
      </c>
      <c r="D339" s="14" t="str">
        <f>+VLOOKUP(C339,'[1]PA 2023'!$G$8:$H$84,2,FALSE)</f>
        <v>FORTALECIMIENTO DE ESPACIOS DE PARTICIPACIÓN Y PREVENCIÓN DE VIOLENCIAS EN MUJERES Y POBLACIÓN CON ORIENTACIONES SEXUALES E IDENTIDADES DE GÉNERO DIVERSAS DEL MUNICIPIO DE BUCARAMANGA</v>
      </c>
      <c r="E339" s="13" t="s">
        <v>1071</v>
      </c>
      <c r="F339" s="15" t="s">
        <v>22</v>
      </c>
      <c r="G339" s="22" t="s">
        <v>23</v>
      </c>
      <c r="H339" s="21" t="s">
        <v>23</v>
      </c>
      <c r="I339" s="13" t="s">
        <v>470</v>
      </c>
      <c r="J339" s="13" t="s">
        <v>378</v>
      </c>
      <c r="K339" s="16">
        <v>45000</v>
      </c>
      <c r="L339" s="17">
        <v>203801</v>
      </c>
      <c r="M339" s="17">
        <v>203801</v>
      </c>
      <c r="N339" s="18">
        <v>203801</v>
      </c>
      <c r="O339" s="15" t="s">
        <v>23</v>
      </c>
      <c r="Q339" s="13">
        <v>3516</v>
      </c>
      <c r="R339" s="23" t="s">
        <v>380</v>
      </c>
      <c r="S339" s="13" t="s">
        <v>471</v>
      </c>
      <c r="T339" s="13" t="s">
        <v>16</v>
      </c>
      <c r="U339" s="17">
        <f>+M339-N339</f>
        <v>0</v>
      </c>
    </row>
    <row r="340" spans="1:21" x14ac:dyDescent="0.3">
      <c r="A340" s="13">
        <v>285</v>
      </c>
      <c r="B340" s="13" t="str">
        <f>+VLOOKUP(A340,'[1]PA 2023'!$A$8:$E$84,5)</f>
        <v>Mantener en funcionamiento el 100% de los salones comunales que hacen parte del programa Ágoras.</v>
      </c>
      <c r="C340" s="14">
        <v>2022680010029</v>
      </c>
      <c r="D340" s="14" t="str">
        <f>+VLOOKUP(C340,'[1]PA 2023'!$G$8:$H$84,2,FALSE)</f>
        <v>FORTALECIMIENTO DE LA PARTICIPACIÓN CIUDADANA EN EL MUNICIPIO DE BUCARAMANGA</v>
      </c>
      <c r="E340" s="13" t="s">
        <v>1072</v>
      </c>
      <c r="F340" s="15" t="s">
        <v>22</v>
      </c>
      <c r="G340" s="22" t="s">
        <v>23</v>
      </c>
      <c r="H340" s="21" t="s">
        <v>23</v>
      </c>
      <c r="I340" s="13" t="s">
        <v>901</v>
      </c>
      <c r="J340" s="13" t="s">
        <v>468</v>
      </c>
      <c r="K340" s="16">
        <v>45000</v>
      </c>
      <c r="L340" s="17">
        <v>60418.06</v>
      </c>
      <c r="M340" s="17">
        <v>60418.06</v>
      </c>
      <c r="N340" s="18">
        <v>60418.06</v>
      </c>
      <c r="O340" s="15" t="s">
        <v>23</v>
      </c>
      <c r="Q340" s="13">
        <v>3517</v>
      </c>
      <c r="R340" s="13" t="s">
        <v>134</v>
      </c>
      <c r="S340" s="13" t="s">
        <v>902</v>
      </c>
      <c r="T340" s="13" t="s">
        <v>16</v>
      </c>
      <c r="U340" s="17">
        <f>+M340-N340</f>
        <v>0</v>
      </c>
    </row>
    <row r="341" spans="1:21" x14ac:dyDescent="0.3">
      <c r="A341" s="13">
        <v>99</v>
      </c>
      <c r="B341" s="13" t="str">
        <f>+VLOOKUP(A341,'[1]PA 2023'!$A$8:$E$84,5)</f>
        <v>Formular e implementar 1 estrategia para brindar asistencia social a la población afectada por las diferentes emergencias y particularmente COVID-19.</v>
      </c>
      <c r="C341" s="14">
        <v>2022680010036</v>
      </c>
      <c r="D341" s="14" t="str">
        <f>+VLOOKUP(C341,'[1]PA 2023'!$G$8:$H$84,2,FALSE)</f>
        <v>IMPLEMENTACIÓN DE ACCIONES DE ASISTENCIA SOCIAL ORIENTADAS A LA POBLACIÓN AFECTADA POR LAS DIFERENTES EMERGENCIAS SOCIALES, NATURALES, SANITARIAS ANTRÓPICAS O EN SITUACIÓN DE VULNERABILIDAD EN EL MUNICIPIO DE BUCARAMANGA</v>
      </c>
      <c r="E341" s="13" t="s">
        <v>1052</v>
      </c>
      <c r="F341" s="15">
        <v>1751</v>
      </c>
      <c r="G341" s="21" t="s">
        <v>43</v>
      </c>
      <c r="H341" s="21" t="s">
        <v>36</v>
      </c>
      <c r="I341" s="13" t="s">
        <v>1073</v>
      </c>
      <c r="J341" s="13" t="s">
        <v>538</v>
      </c>
      <c r="K341" s="16">
        <v>45000</v>
      </c>
      <c r="L341" s="17">
        <v>5000000</v>
      </c>
      <c r="M341" s="17">
        <v>5000000</v>
      </c>
      <c r="N341" s="18">
        <f>1066666.67+2000000+1933333.33</f>
        <v>5000000</v>
      </c>
      <c r="O341" s="22" t="s">
        <v>1074</v>
      </c>
      <c r="Q341" s="13">
        <v>3524</v>
      </c>
      <c r="R341" s="13" t="s">
        <v>540</v>
      </c>
      <c r="S341" s="13" t="s">
        <v>1075</v>
      </c>
      <c r="T341" s="13" t="s">
        <v>16</v>
      </c>
      <c r="U341" s="17">
        <f>+M341-N341</f>
        <v>0</v>
      </c>
    </row>
    <row r="342" spans="1:21" x14ac:dyDescent="0.3">
      <c r="A342" s="13">
        <v>99</v>
      </c>
      <c r="B342" s="13" t="str">
        <f>+VLOOKUP(A342,'[1]PA 2023'!$A$8:$E$84,5)</f>
        <v>Formular e implementar 1 estrategia para brindar asistencia social a la población afectada por las diferentes emergencias y particularmente COVID-19.</v>
      </c>
      <c r="C342" s="14">
        <v>2022680010036</v>
      </c>
      <c r="D342" s="14" t="str">
        <f>+VLOOKUP(C342,'[1]PA 2023'!$G$8:$H$84,2,FALSE)</f>
        <v>IMPLEMENTACIÓN DE ACCIONES DE ASISTENCIA SOCIAL ORIENTADAS A LA POBLACIÓN AFECTADA POR LAS DIFERENTES EMERGENCIAS SOCIALES, NATURALES, SANITARIAS ANTRÓPICAS O EN SITUACIÓN DE VULNERABILIDAD EN EL MUNICIPIO DE BUCARAMANGA</v>
      </c>
      <c r="E342" s="13" t="s">
        <v>1064</v>
      </c>
      <c r="F342" s="15">
        <v>1767</v>
      </c>
      <c r="G342" s="22" t="s">
        <v>35</v>
      </c>
      <c r="H342" s="21" t="s">
        <v>36</v>
      </c>
      <c r="I342" s="13" t="s">
        <v>1076</v>
      </c>
      <c r="J342" s="13" t="s">
        <v>538</v>
      </c>
      <c r="K342" s="16">
        <v>45002</v>
      </c>
      <c r="L342" s="17">
        <v>4500000</v>
      </c>
      <c r="M342" s="17">
        <v>4500000</v>
      </c>
      <c r="N342" s="18">
        <f>840000+1800000+1800000</f>
        <v>4440000</v>
      </c>
      <c r="O342" s="22" t="s">
        <v>1077</v>
      </c>
      <c r="Q342" s="13">
        <v>3549</v>
      </c>
      <c r="R342" s="23" t="s">
        <v>540</v>
      </c>
      <c r="S342" s="13" t="s">
        <v>1078</v>
      </c>
      <c r="T342" s="13" t="s">
        <v>16</v>
      </c>
      <c r="U342" s="17">
        <f>+M342-N342+M1121</f>
        <v>60000</v>
      </c>
    </row>
    <row r="343" spans="1:21" x14ac:dyDescent="0.3">
      <c r="A343" s="13">
        <v>78</v>
      </c>
      <c r="B343" s="13" t="str">
        <f>+VLOOKUP(A343,'[1]PA 2023'!$A$8:$E$84,5)</f>
        <v>Formular e implementar 1 ruta de atención integral para niños, niñas, adolescentes refugiados y migrantes y sus familias.</v>
      </c>
      <c r="C343" s="14">
        <v>2022680010056</v>
      </c>
      <c r="D343" s="14" t="str">
        <f>+VLOOKUP(C343,'[1]PA 2023'!$G$8:$H$84,2,FALSE)</f>
        <v>APOYO EN LOS PROCESOS DE ATENCIÓN INTEGRAL DE LOS NIÑOS Y NIÑAS EN EL ESPACIO DE CUIDADO Y ALBERGUE "CASA BÚHO" EN EL MUNICIPIO DE BUCARAMANGA</v>
      </c>
      <c r="E343" s="13" t="s">
        <v>1079</v>
      </c>
      <c r="F343" s="15" t="s">
        <v>22</v>
      </c>
      <c r="G343" s="22" t="s">
        <v>23</v>
      </c>
      <c r="H343" s="21" t="s">
        <v>23</v>
      </c>
      <c r="I343" s="13" t="s">
        <v>29</v>
      </c>
      <c r="J343" s="13" t="s">
        <v>970</v>
      </c>
      <c r="K343" s="16">
        <v>45002</v>
      </c>
      <c r="L343" s="17">
        <v>1481510</v>
      </c>
      <c r="M343" s="17">
        <v>1481510</v>
      </c>
      <c r="N343" s="18">
        <v>1481510</v>
      </c>
      <c r="O343" s="15" t="s">
        <v>23</v>
      </c>
      <c r="Q343" s="13">
        <v>3554</v>
      </c>
      <c r="R343" s="13" t="s">
        <v>971</v>
      </c>
      <c r="S343" s="13" t="s">
        <v>30</v>
      </c>
      <c r="T343" s="13" t="s">
        <v>16</v>
      </c>
      <c r="U343" s="17">
        <f t="shared" ref="U343:U353" si="12">+M343-N343</f>
        <v>0</v>
      </c>
    </row>
    <row r="344" spans="1:21" x14ac:dyDescent="0.3">
      <c r="A344" s="13">
        <v>83</v>
      </c>
      <c r="B344" s="13" t="str">
        <f>+VLOOKUP(A344,'[1]PA 2023'!$A$8:$E$84,5)</f>
        <v>Implementar y mantener 1 proceso de liderazgo b-learning orientada al fortalecimiento de la participación de niños, niñas, adolescentes y jóvenes.</v>
      </c>
      <c r="C344" s="14">
        <v>2021680010003</v>
      </c>
      <c r="D344" s="14" t="str">
        <f>+VLOOKUP(C344,'[1]PA 2023'!$G$8:$H$84,2,FALSE)</f>
        <v>IMPLEMENTACIÓN DE ESTRATEGIAS PSICOPEDAGÓGICAS PARA LA DISMINUCIÓN DE FACTORES DE RIESGO EN NIÑOS, NIÑAS Y ADOLESCENTES EN EL MUNICIPIO DE BUCARAMANGA</v>
      </c>
      <c r="E344" s="13" t="s">
        <v>1080</v>
      </c>
      <c r="F344" s="15">
        <v>1777</v>
      </c>
      <c r="G344" s="21" t="s">
        <v>43</v>
      </c>
      <c r="H344" s="21" t="s">
        <v>36</v>
      </c>
      <c r="I344" s="13" t="s">
        <v>1081</v>
      </c>
      <c r="J344" s="13" t="s">
        <v>212</v>
      </c>
      <c r="K344" s="16">
        <v>45002</v>
      </c>
      <c r="L344" s="17">
        <v>7500000</v>
      </c>
      <c r="M344" s="17">
        <v>7500000</v>
      </c>
      <c r="N344" s="18">
        <f>1400000+3000000+3000000</f>
        <v>7400000</v>
      </c>
      <c r="O344" s="22" t="s">
        <v>1082</v>
      </c>
      <c r="Q344" s="13">
        <v>3555</v>
      </c>
      <c r="R344" s="13" t="s">
        <v>164</v>
      </c>
      <c r="S344" s="13" t="s">
        <v>1083</v>
      </c>
      <c r="T344" s="13" t="s">
        <v>16</v>
      </c>
      <c r="U344" s="17">
        <f t="shared" si="12"/>
        <v>100000</v>
      </c>
    </row>
    <row r="345" spans="1:21" x14ac:dyDescent="0.3">
      <c r="A345" s="13">
        <v>79</v>
      </c>
      <c r="B345" s="13" t="str">
        <f>+VLOOKUP(A345,'[1]PA 2023'!$A$8:$E$84,5)</f>
        <v>Formular e implementar 1 programa de familias fuertes: amor y límite que permita fortalecer a las familias como agente protector ante las conductas de riesgo en los adolescentes.</v>
      </c>
      <c r="C345" s="14">
        <v>2021680010003</v>
      </c>
      <c r="D345" s="14" t="str">
        <f>+VLOOKUP(C345,'[1]PA 2023'!$G$8:$H$84,2,FALSE)</f>
        <v>IMPLEMENTACIÓN DE ESTRATEGIAS PSICOPEDAGÓGICAS PARA LA DISMINUCIÓN DE FACTORES DE RIESGO EN NIÑOS, NIÑAS Y ADOLESCENTES EN EL MUNICIPIO DE BUCARAMANGA</v>
      </c>
      <c r="E345" s="13" t="s">
        <v>1084</v>
      </c>
      <c r="F345" s="15">
        <v>1778</v>
      </c>
      <c r="G345" s="21" t="s">
        <v>43</v>
      </c>
      <c r="H345" s="21" t="s">
        <v>36</v>
      </c>
      <c r="I345" s="13" t="s">
        <v>1085</v>
      </c>
      <c r="J345" s="13" t="s">
        <v>212</v>
      </c>
      <c r="K345" s="16">
        <v>45002</v>
      </c>
      <c r="L345" s="17">
        <v>7000000</v>
      </c>
      <c r="M345" s="17">
        <v>7000000</v>
      </c>
      <c r="N345" s="18">
        <f>1306666.67+2800000+2800000</f>
        <v>6906666.6699999999</v>
      </c>
      <c r="O345" s="22" t="s">
        <v>1086</v>
      </c>
      <c r="Q345" s="13">
        <v>3556</v>
      </c>
      <c r="R345" s="13" t="s">
        <v>164</v>
      </c>
      <c r="S345" s="13" t="s">
        <v>1087</v>
      </c>
      <c r="T345" s="13" t="s">
        <v>16</v>
      </c>
      <c r="U345" s="17">
        <f t="shared" si="12"/>
        <v>93333.330000000075</v>
      </c>
    </row>
    <row r="346" spans="1:21" x14ac:dyDescent="0.3">
      <c r="A346" s="13">
        <v>82</v>
      </c>
      <c r="B346" s="13" t="str">
        <f>+VLOOKUP(A346,'[1]PA 2023'!$A$8:$E$84,5)</f>
        <v xml:space="preserve">Mantener el servicio exequial al 100% de los niños, niñas y adolescentes en extrema vulnerabilidad que fallezcan y que sus familias así lo requieran. </v>
      </c>
      <c r="C346" s="14">
        <v>2021680010003</v>
      </c>
      <c r="D346" s="14" t="str">
        <f>+VLOOKUP(C346,'[1]PA 2023'!$G$8:$H$84,2,FALSE)</f>
        <v>IMPLEMENTACIÓN DE ESTRATEGIAS PSICOPEDAGÓGICAS PARA LA DISMINUCIÓN DE FACTORES DE RIESGO EN NIÑOS, NIÑAS Y ADOLESCENTES EN EL MUNICIPIO DE BUCARAMANGA</v>
      </c>
      <c r="E346" s="13" t="s">
        <v>1088</v>
      </c>
      <c r="F346" s="15">
        <v>32</v>
      </c>
      <c r="G346" s="22" t="s">
        <v>156</v>
      </c>
      <c r="H346" s="21" t="s">
        <v>157</v>
      </c>
      <c r="I346" s="13" t="s">
        <v>158</v>
      </c>
      <c r="J346" s="13" t="s">
        <v>163</v>
      </c>
      <c r="K346" s="16">
        <v>45002</v>
      </c>
      <c r="L346" s="17">
        <v>37393933</v>
      </c>
      <c r="M346" s="17">
        <v>37393933</v>
      </c>
      <c r="N346" s="18">
        <f>14428796+4726447</f>
        <v>19155243</v>
      </c>
      <c r="O346" s="22" t="s">
        <v>1089</v>
      </c>
      <c r="Q346" s="13">
        <v>3573</v>
      </c>
      <c r="R346" s="23" t="s">
        <v>164</v>
      </c>
      <c r="S346" s="13" t="s">
        <v>162</v>
      </c>
      <c r="T346" s="13" t="s">
        <v>16</v>
      </c>
      <c r="U346" s="17">
        <f t="shared" si="12"/>
        <v>18238690</v>
      </c>
    </row>
    <row r="347" spans="1:21" x14ac:dyDescent="0.3">
      <c r="A347" s="13">
        <v>91</v>
      </c>
      <c r="B347" s="13" t="str">
        <f>+VLOOKUP(A347,'[1]PA 2023'!$A$8:$E$84,5)</f>
        <v>Mantener el servicio exequial al 100% de las personas mayores fallecidas en condición de pobreza, vulnerabilidad y sin red familiar de apoyo.</v>
      </c>
      <c r="C347" s="14">
        <v>2020680010040</v>
      </c>
      <c r="D347" s="14" t="str">
        <f>+VLOOKUP(C347,'[1]PA 2023'!$G$8:$H$84,2,FALSE)</f>
        <v>IMPLEMENTACIÓN DE ACCIONES TENDIENTES A MEJORAR LAS CONDICIONES DE LOS ADULTOS MAYORES DEL MUNICIPIO DE BUCARAMANGA</v>
      </c>
      <c r="E347" s="13" t="s">
        <v>1088</v>
      </c>
      <c r="F347" s="15">
        <v>32</v>
      </c>
      <c r="G347" s="22" t="s">
        <v>156</v>
      </c>
      <c r="H347" s="21" t="s">
        <v>157</v>
      </c>
      <c r="I347" s="13" t="s">
        <v>158</v>
      </c>
      <c r="J347" s="13" t="s">
        <v>165</v>
      </c>
      <c r="K347" s="16">
        <v>45002</v>
      </c>
      <c r="L347" s="17">
        <v>89575732</v>
      </c>
      <c r="M347" s="17">
        <v>89575732</v>
      </c>
      <c r="N347" s="18">
        <v>89575732</v>
      </c>
      <c r="O347" s="22" t="s">
        <v>1089</v>
      </c>
      <c r="Q347" s="13">
        <v>3573</v>
      </c>
      <c r="R347" s="23" t="s">
        <v>26</v>
      </c>
      <c r="S347" s="13" t="s">
        <v>162</v>
      </c>
      <c r="T347" s="13" t="s">
        <v>16</v>
      </c>
      <c r="U347" s="17">
        <f t="shared" si="12"/>
        <v>0</v>
      </c>
    </row>
    <row r="348" spans="1:21" x14ac:dyDescent="0.3">
      <c r="A348" s="13">
        <v>114</v>
      </c>
      <c r="B348" s="13" t="str">
        <f>+VLOOKUP(A348,'[1]PA 2023'!$A$8:$E$84,5)</f>
        <v>Mantener el servicio exequial al 100% de los habitantes de calle fallecidos registrados dentro del censo municipal.</v>
      </c>
      <c r="C348" s="14">
        <v>2020680010050</v>
      </c>
      <c r="D348" s="14" t="str">
        <f>+VLOOKUP(C348,'[1]PA 2023'!$G$8:$H$84,2,FALSE)</f>
        <v>DESARROLLO DE ACCIONES ENCAMINADAS A GENERAR ATENCIÓN INTEGRAL HACIA LA POBLACIÓN HABITANTES EN SITUACIÓN DE CALLE DEL MUNICIPIO DE BUCARAMANGA</v>
      </c>
      <c r="E348" s="13" t="s">
        <v>1088</v>
      </c>
      <c r="F348" s="15">
        <v>32</v>
      </c>
      <c r="G348" s="22" t="s">
        <v>156</v>
      </c>
      <c r="H348" s="21" t="s">
        <v>157</v>
      </c>
      <c r="I348" s="13" t="s">
        <v>158</v>
      </c>
      <c r="J348" s="13" t="s">
        <v>159</v>
      </c>
      <c r="K348" s="16">
        <v>45002</v>
      </c>
      <c r="L348" s="17">
        <v>57393933</v>
      </c>
      <c r="M348" s="17">
        <v>57393933</v>
      </c>
      <c r="N348" s="18">
        <f>34925676+2910473</f>
        <v>37836149</v>
      </c>
      <c r="O348" s="22" t="s">
        <v>1089</v>
      </c>
      <c r="Q348" s="13">
        <v>3573</v>
      </c>
      <c r="R348" s="23" t="s">
        <v>161</v>
      </c>
      <c r="S348" s="13" t="s">
        <v>162</v>
      </c>
      <c r="T348" s="13" t="s">
        <v>16</v>
      </c>
      <c r="U348" s="17">
        <f t="shared" si="12"/>
        <v>19557784</v>
      </c>
    </row>
    <row r="349" spans="1:21" x14ac:dyDescent="0.3">
      <c r="A349" s="13">
        <v>95</v>
      </c>
      <c r="B349" s="13" t="str">
        <f>+VLOOKUP(A349,'[1]PA 2023'!$A$8:$E$84,5)</f>
        <v>Formular e implementar 1 estrategia que promueva  las actividades psicosociales, actividades artísticas y culturales,   actividades físicas y recreación y actividades productivas en las personas mayores.</v>
      </c>
      <c r="C349" s="14">
        <v>2020680010040</v>
      </c>
      <c r="D349" s="14" t="str">
        <f>+VLOOKUP(C349,'[1]PA 2023'!$G$8:$H$84,2,FALSE)</f>
        <v>IMPLEMENTACIÓN DE ACCIONES TENDIENTES A MEJORAR LAS CONDICIONES DE LOS ADULTOS MAYORES DEL MUNICIPIO DE BUCARAMANGA</v>
      </c>
      <c r="E349" s="13" t="s">
        <v>700</v>
      </c>
      <c r="F349" s="15">
        <v>1784</v>
      </c>
      <c r="G349" s="22" t="s">
        <v>43</v>
      </c>
      <c r="H349" s="21" t="s">
        <v>36</v>
      </c>
      <c r="I349" s="13" t="s">
        <v>1090</v>
      </c>
      <c r="J349" s="13" t="s">
        <v>574</v>
      </c>
      <c r="K349" s="16">
        <v>45006</v>
      </c>
      <c r="L349" s="17">
        <v>7500000</v>
      </c>
      <c r="M349" s="17">
        <v>7500000</v>
      </c>
      <c r="N349" s="18">
        <f>1000000+3000000+3000000+400000</f>
        <v>7400000</v>
      </c>
      <c r="O349" s="22" t="s">
        <v>1091</v>
      </c>
      <c r="Q349" s="13">
        <v>3583</v>
      </c>
      <c r="R349" s="13" t="s">
        <v>26</v>
      </c>
      <c r="S349" s="13" t="s">
        <v>1092</v>
      </c>
      <c r="T349" s="13" t="s">
        <v>16</v>
      </c>
      <c r="U349" s="17">
        <f t="shared" si="12"/>
        <v>100000</v>
      </c>
    </row>
    <row r="350" spans="1:21" x14ac:dyDescent="0.3">
      <c r="A350" s="13">
        <v>206</v>
      </c>
      <c r="B350" s="13" t="str">
        <f>+VLOOKUP(A350,'[1]PA 2023'!$A$8:$E$84,5)</f>
        <v>Mantener el Plan General de Asistencia Técnica.</v>
      </c>
      <c r="C350" s="14">
        <v>2020680010123</v>
      </c>
      <c r="D350" s="14" t="str">
        <f>+VLOOKUP(C350,'[1]PA 2023'!$G$8:$H$84,2,FALSE)</f>
        <v>FORTALECIMIENTO DE LA PRODUCTIVIDAD Y COMPETITIVIDAD AGROPECUARIA EN EL SECTOR RURAL DEL MUNICIPIO DE BUCARAMANGA</v>
      </c>
      <c r="E350" s="13" t="s">
        <v>1060</v>
      </c>
      <c r="F350" s="15">
        <v>1794</v>
      </c>
      <c r="G350" s="22" t="s">
        <v>35</v>
      </c>
      <c r="H350" s="21" t="s">
        <v>36</v>
      </c>
      <c r="I350" s="13" t="s">
        <v>1093</v>
      </c>
      <c r="J350" s="13" t="s">
        <v>665</v>
      </c>
      <c r="K350" s="16">
        <v>45007</v>
      </c>
      <c r="L350" s="17">
        <v>4333333.33</v>
      </c>
      <c r="M350" s="17">
        <v>4333333.33</v>
      </c>
      <c r="N350" s="18">
        <f>600000+2000000+1733333.33</f>
        <v>4333333.33</v>
      </c>
      <c r="O350" s="22" t="s">
        <v>1094</v>
      </c>
      <c r="Q350" s="13">
        <v>3623</v>
      </c>
      <c r="R350" s="13" t="s">
        <v>667</v>
      </c>
      <c r="S350" s="13" t="s">
        <v>1095</v>
      </c>
      <c r="T350" s="13" t="s">
        <v>16</v>
      </c>
      <c r="U350" s="17">
        <f t="shared" si="12"/>
        <v>0</v>
      </c>
    </row>
    <row r="351" spans="1:21" x14ac:dyDescent="0.3">
      <c r="A351" s="13">
        <v>206</v>
      </c>
      <c r="B351" s="13" t="str">
        <f>+VLOOKUP(A351,'[1]PA 2023'!$A$8:$E$84,5)</f>
        <v>Mantener el Plan General de Asistencia Técnica.</v>
      </c>
      <c r="C351" s="14">
        <v>2020680010123</v>
      </c>
      <c r="D351" s="14" t="str">
        <f>+VLOOKUP(C351,'[1]PA 2023'!$G$8:$H$84,2,FALSE)</f>
        <v>FORTALECIMIENTO DE LA PRODUCTIVIDAD Y COMPETITIVIDAD AGROPECUARIA EN EL SECTOR RURAL DEL MUNICIPIO DE BUCARAMANGA</v>
      </c>
      <c r="E351" s="13" t="s">
        <v>1060</v>
      </c>
      <c r="F351" s="15">
        <v>1791</v>
      </c>
      <c r="G351" s="22" t="s">
        <v>35</v>
      </c>
      <c r="H351" s="21" t="s">
        <v>36</v>
      </c>
      <c r="I351" s="13" t="s">
        <v>1096</v>
      </c>
      <c r="J351" s="13" t="s">
        <v>665</v>
      </c>
      <c r="K351" s="16">
        <v>45007</v>
      </c>
      <c r="L351" s="17">
        <v>4333333.33</v>
      </c>
      <c r="M351" s="17">
        <v>4333333.33</v>
      </c>
      <c r="N351" s="18">
        <f>600000+2000000+1733333.33</f>
        <v>4333333.33</v>
      </c>
      <c r="O351" s="22" t="s">
        <v>1097</v>
      </c>
      <c r="Q351" s="13">
        <v>3624</v>
      </c>
      <c r="R351" s="13" t="s">
        <v>667</v>
      </c>
      <c r="S351" s="13" t="s">
        <v>1098</v>
      </c>
      <c r="T351" s="13" t="s">
        <v>16</v>
      </c>
      <c r="U351" s="17">
        <f t="shared" si="12"/>
        <v>0</v>
      </c>
    </row>
    <row r="352" spans="1:21" x14ac:dyDescent="0.3">
      <c r="A352" s="13">
        <v>93</v>
      </c>
      <c r="B352" s="13" t="str">
        <f>+VLOOKUP(A352,'[1]PA 2023'!$A$8:$E$84,5)</f>
        <v>Mantener en funcionamiento los 3 Centros Vida con la prestacion de servicios integrales y/o dotacion de los mismos cumpliendo con la oferta institucional.</v>
      </c>
      <c r="C352" s="14">
        <v>2020680010040</v>
      </c>
      <c r="D352" s="14" t="str">
        <f>+VLOOKUP(C352,'[1]PA 2023'!$G$8:$H$84,2,FALSE)</f>
        <v>IMPLEMENTACIÓN DE ACCIONES TENDIENTES A MEJORAR LAS CONDICIONES DE LOS ADULTOS MAYORES DEL MUNICIPIO DE BUCARAMANGA</v>
      </c>
      <c r="E352" s="13" t="s">
        <v>1099</v>
      </c>
      <c r="F352" s="15" t="s">
        <v>22</v>
      </c>
      <c r="G352" s="22" t="s">
        <v>23</v>
      </c>
      <c r="H352" s="21" t="s">
        <v>23</v>
      </c>
      <c r="I352" s="13" t="s">
        <v>24</v>
      </c>
      <c r="J352" s="13" t="s">
        <v>25</v>
      </c>
      <c r="K352" s="16">
        <v>45008</v>
      </c>
      <c r="L352" s="17">
        <v>941200</v>
      </c>
      <c r="M352" s="17">
        <v>941200</v>
      </c>
      <c r="N352" s="18">
        <v>941200</v>
      </c>
      <c r="O352" s="15" t="s">
        <v>23</v>
      </c>
      <c r="Q352" s="13">
        <v>3647</v>
      </c>
      <c r="R352" s="13" t="s">
        <v>26</v>
      </c>
      <c r="S352" s="13" t="s">
        <v>27</v>
      </c>
      <c r="T352" s="13" t="s">
        <v>16</v>
      </c>
      <c r="U352" s="17">
        <f t="shared" si="12"/>
        <v>0</v>
      </c>
    </row>
    <row r="353" spans="1:21" x14ac:dyDescent="0.3">
      <c r="A353" s="13">
        <v>78</v>
      </c>
      <c r="B353" s="13" t="str">
        <f>+VLOOKUP(A353,'[1]PA 2023'!$A$8:$E$84,5)</f>
        <v>Formular e implementar 1 ruta de atención integral para niños, niñas, adolescentes refugiados y migrantes y sus familias.</v>
      </c>
      <c r="C353" s="14">
        <v>2022680010056</v>
      </c>
      <c r="D353" s="14" t="str">
        <f>+VLOOKUP(C353,'[1]PA 2023'!$G$8:$H$84,2,FALSE)</f>
        <v>APOYO EN LOS PROCESOS DE ATENCIÓN INTEGRAL DE LOS NIÑOS Y NIÑAS EN EL ESPACIO DE CUIDADO Y ALBERGUE "CASA BÚHO" EN EL MUNICIPIO DE BUCARAMANGA</v>
      </c>
      <c r="E353" s="13" t="s">
        <v>1100</v>
      </c>
      <c r="F353" s="15" t="s">
        <v>22</v>
      </c>
      <c r="G353" s="22" t="s">
        <v>23</v>
      </c>
      <c r="H353" s="21" t="s">
        <v>23</v>
      </c>
      <c r="I353" s="13" t="s">
        <v>24</v>
      </c>
      <c r="J353" s="13" t="s">
        <v>970</v>
      </c>
      <c r="K353" s="16">
        <v>45008</v>
      </c>
      <c r="L353" s="17">
        <v>71980</v>
      </c>
      <c r="M353" s="17">
        <v>71980</v>
      </c>
      <c r="N353" s="18">
        <v>71980</v>
      </c>
      <c r="O353" s="15" t="s">
        <v>23</v>
      </c>
      <c r="Q353" s="13">
        <v>3648</v>
      </c>
      <c r="R353" s="13" t="s">
        <v>971</v>
      </c>
      <c r="S353" s="13" t="s">
        <v>27</v>
      </c>
      <c r="T353" s="13" t="s">
        <v>16</v>
      </c>
      <c r="U353" s="17">
        <f t="shared" si="12"/>
        <v>0</v>
      </c>
    </row>
    <row r="354" spans="1:21" x14ac:dyDescent="0.3">
      <c r="A354" s="13">
        <v>112</v>
      </c>
      <c r="B354" s="13" t="str">
        <f>+VLOOKUP(A354,'[1]PA 2023'!$A$8:$E$84,5)</f>
        <v>Mantener a 284 habitantes de calle con atención integral en la cual se incluya la prestación de servicios básicos.</v>
      </c>
      <c r="C354" s="14">
        <v>2020680010050</v>
      </c>
      <c r="D354" s="14" t="str">
        <f>+VLOOKUP(C354,'[1]PA 2023'!$G$8:$H$84,2,FALSE)</f>
        <v>DESARROLLO DE ACCIONES ENCAMINADAS A GENERAR ATENCIÓN INTEGRAL HACIA LA POBLACIÓN HABITANTES EN SITUACIÓN DE CALLE DEL MUNICIPIO DE BUCARAMANGA</v>
      </c>
      <c r="E354" s="13" t="s">
        <v>176</v>
      </c>
      <c r="F354" s="15">
        <v>92</v>
      </c>
      <c r="G354" s="22" t="s">
        <v>177</v>
      </c>
      <c r="H354" s="21" t="s">
        <v>178</v>
      </c>
      <c r="I354" s="13" t="s">
        <v>179</v>
      </c>
      <c r="J354" s="13" t="s">
        <v>180</v>
      </c>
      <c r="K354" s="16">
        <v>45009</v>
      </c>
      <c r="L354" s="17">
        <v>-4132988</v>
      </c>
      <c r="M354" s="17">
        <v>-4132988</v>
      </c>
      <c r="N354" s="18">
        <v>0</v>
      </c>
      <c r="O354" s="22" t="s">
        <v>181</v>
      </c>
      <c r="Q354" s="13">
        <v>1375</v>
      </c>
      <c r="R354" s="23" t="s">
        <v>161</v>
      </c>
      <c r="S354" s="13" t="s">
        <v>182</v>
      </c>
      <c r="T354" s="13" t="s">
        <v>16</v>
      </c>
      <c r="U354" s="26">
        <v>0</v>
      </c>
    </row>
    <row r="355" spans="1:21" x14ac:dyDescent="0.3">
      <c r="A355" s="13">
        <v>112</v>
      </c>
      <c r="B355" s="13" t="str">
        <f>+VLOOKUP(A355,'[1]PA 2023'!$A$8:$E$84,5)</f>
        <v>Mantener a 284 habitantes de calle con atención integral en la cual se incluya la prestación de servicios básicos.</v>
      </c>
      <c r="C355" s="14">
        <v>2020680010050</v>
      </c>
      <c r="D355" s="14" t="str">
        <f>+VLOOKUP(C355,'[1]PA 2023'!$G$8:$H$84,2,FALSE)</f>
        <v>DESARROLLO DE ACCIONES ENCAMINADAS A GENERAR ATENCIÓN INTEGRAL HACIA LA POBLACIÓN HABITANTES EN SITUACIÓN DE CALLE DEL MUNICIPIO DE BUCARAMANGA</v>
      </c>
      <c r="E355" s="13" t="s">
        <v>457</v>
      </c>
      <c r="F355" s="15">
        <v>254</v>
      </c>
      <c r="G355" s="22" t="s">
        <v>184</v>
      </c>
      <c r="H355" s="21" t="s">
        <v>185</v>
      </c>
      <c r="I355" s="13" t="s">
        <v>435</v>
      </c>
      <c r="J355" s="13" t="s">
        <v>180</v>
      </c>
      <c r="K355" s="16">
        <v>45009</v>
      </c>
      <c r="L355" s="17">
        <v>-10565619</v>
      </c>
      <c r="M355" s="17">
        <v>-10565619</v>
      </c>
      <c r="N355" s="18">
        <v>0</v>
      </c>
      <c r="O355" s="22" t="s">
        <v>458</v>
      </c>
      <c r="Q355" s="13">
        <v>1922</v>
      </c>
      <c r="R355" s="23" t="s">
        <v>161</v>
      </c>
      <c r="S355" s="13" t="s">
        <v>437</v>
      </c>
      <c r="T355" s="13" t="s">
        <v>16</v>
      </c>
      <c r="U355" s="26">
        <v>0</v>
      </c>
    </row>
    <row r="356" spans="1:21" x14ac:dyDescent="0.3">
      <c r="A356" s="13">
        <v>206</v>
      </c>
      <c r="B356" s="13" t="str">
        <f>+VLOOKUP(A356,'[1]PA 2023'!$A$8:$E$84,5)</f>
        <v>Mantener el Plan General de Asistencia Técnica.</v>
      </c>
      <c r="C356" s="14">
        <v>2020680010123</v>
      </c>
      <c r="D356" s="14" t="str">
        <f>+VLOOKUP(C356,'[1]PA 2023'!$G$8:$H$84,2,FALSE)</f>
        <v>FORTALECIMIENTO DE LA PRODUCTIVIDAD Y COMPETITIVIDAD AGROPECUARIA EN EL SECTOR RURAL DEL MUNICIPIO DE BUCARAMANGA</v>
      </c>
      <c r="E356" s="13" t="s">
        <v>1060</v>
      </c>
      <c r="F356" s="15">
        <v>1806</v>
      </c>
      <c r="G356" s="22" t="s">
        <v>35</v>
      </c>
      <c r="H356" s="21" t="s">
        <v>36</v>
      </c>
      <c r="I356" s="13" t="s">
        <v>1101</v>
      </c>
      <c r="J356" s="13" t="s">
        <v>665</v>
      </c>
      <c r="K356" s="16">
        <v>45012</v>
      </c>
      <c r="L356" s="17">
        <v>4333333.33</v>
      </c>
      <c r="M356" s="17">
        <v>4333333.33</v>
      </c>
      <c r="N356" s="18">
        <f>266666.67+2000000+2000000</f>
        <v>4266666.67</v>
      </c>
      <c r="O356" s="22" t="s">
        <v>1102</v>
      </c>
      <c r="Q356" s="13">
        <v>3676</v>
      </c>
      <c r="R356" s="13" t="s">
        <v>667</v>
      </c>
      <c r="S356" s="13" t="s">
        <v>1103</v>
      </c>
      <c r="T356" s="13" t="s">
        <v>16</v>
      </c>
      <c r="U356" s="17">
        <f>+M356-N356</f>
        <v>66666.660000000149</v>
      </c>
    </row>
    <row r="357" spans="1:21" x14ac:dyDescent="0.3">
      <c r="A357" s="13">
        <v>115</v>
      </c>
      <c r="B357" s="13" t="str">
        <f>+VLOOKUP(A357,'[1]PA 2023'!$A$8:$E$84,5)</f>
        <v>Garantizar y mantener la atención integral en procesos de habilitación y rehabilitación a 250 niñas, niños y adolescentes con discapacidad del sector urbano y rural en extrema vulnerabilidad.</v>
      </c>
      <c r="C357" s="14">
        <v>2020680010121</v>
      </c>
      <c r="D357" s="14" t="str">
        <f>+VLOOKUP(C357,'[1]PA 2023'!$G$8:$H$84,2,FALSE)</f>
        <v>APOYO A LA OPERATIVIDAD DE LOS PROGRAMAS DE ATENCIÓN INTEGRAL A LAS PERSONAS CON DISCAPACIDAD. FAMILIARES Y/O CUIDADORES DEL MUNICIPIO DE BUCARAMANGA</v>
      </c>
      <c r="E357" s="13" t="s">
        <v>1104</v>
      </c>
      <c r="F357" s="15">
        <v>36</v>
      </c>
      <c r="G357" s="22" t="s">
        <v>177</v>
      </c>
      <c r="H357" s="21" t="s">
        <v>185</v>
      </c>
      <c r="I357" s="13" t="s">
        <v>190</v>
      </c>
      <c r="J357" s="13" t="s">
        <v>191</v>
      </c>
      <c r="K357" s="16">
        <v>45012</v>
      </c>
      <c r="L357" s="17">
        <v>134400000</v>
      </c>
      <c r="M357" s="17">
        <v>134400000</v>
      </c>
      <c r="N357" s="18">
        <f>32928000+32256000+67200000</f>
        <v>132384000</v>
      </c>
      <c r="O357" s="22" t="s">
        <v>1105</v>
      </c>
      <c r="Q357" s="13">
        <v>3677</v>
      </c>
      <c r="R357" s="23" t="s">
        <v>193</v>
      </c>
      <c r="S357" s="13" t="s">
        <v>194</v>
      </c>
      <c r="T357" s="13" t="s">
        <v>16</v>
      </c>
      <c r="U357" s="17">
        <f>+M357-N357+M1009</f>
        <v>86016000</v>
      </c>
    </row>
    <row r="358" spans="1:21" x14ac:dyDescent="0.3">
      <c r="A358" s="13">
        <v>115</v>
      </c>
      <c r="B358" s="13" t="str">
        <f>+VLOOKUP(A358,'[1]PA 2023'!$A$8:$E$84,5)</f>
        <v>Garantizar y mantener la atención integral en procesos de habilitación y rehabilitación a 250 niñas, niños y adolescentes con discapacidad del sector urbano y rural en extrema vulnerabilidad.</v>
      </c>
      <c r="C358" s="14">
        <v>2020680010121</v>
      </c>
      <c r="D358" s="14" t="str">
        <f>+VLOOKUP(C358,'[1]PA 2023'!$G$8:$H$84,2,FALSE)</f>
        <v>APOYO A LA OPERATIVIDAD DE LOS PROGRAMAS DE ATENCIÓN INTEGRAL A LAS PERSONAS CON DISCAPACIDAD. FAMILIARES Y/O CUIDADORES DEL MUNICIPIO DE BUCARAMANGA</v>
      </c>
      <c r="E358" s="13" t="s">
        <v>1106</v>
      </c>
      <c r="F358" s="15">
        <v>37</v>
      </c>
      <c r="G358" s="22" t="s">
        <v>177</v>
      </c>
      <c r="H358" s="21" t="s">
        <v>185</v>
      </c>
      <c r="I358" s="13" t="s">
        <v>190</v>
      </c>
      <c r="J358" s="13" t="s">
        <v>191</v>
      </c>
      <c r="K358" s="16">
        <v>45012</v>
      </c>
      <c r="L358" s="17">
        <v>242928000</v>
      </c>
      <c r="M358" s="17">
        <v>242928000</v>
      </c>
      <c r="N358" s="18">
        <f>60732000+60732000+121464000</f>
        <v>242928000</v>
      </c>
      <c r="O358" s="22" t="s">
        <v>1107</v>
      </c>
      <c r="Q358" s="13">
        <v>3678</v>
      </c>
      <c r="R358" s="13" t="s">
        <v>193</v>
      </c>
      <c r="S358" s="13" t="s">
        <v>194</v>
      </c>
      <c r="T358" s="13" t="s">
        <v>16</v>
      </c>
      <c r="U358" s="17">
        <f>+M358-N358</f>
        <v>0</v>
      </c>
    </row>
    <row r="359" spans="1:21" x14ac:dyDescent="0.3">
      <c r="A359" s="13">
        <v>115</v>
      </c>
      <c r="B359" s="13" t="str">
        <f>+VLOOKUP(A359,'[1]PA 2023'!$A$8:$E$84,5)</f>
        <v>Garantizar y mantener la atención integral en procesos de habilitación y rehabilitación a 250 niñas, niños y adolescentes con discapacidad del sector urbano y rural en extrema vulnerabilidad.</v>
      </c>
      <c r="C359" s="14">
        <v>2020680010121</v>
      </c>
      <c r="D359" s="14" t="str">
        <f>+VLOOKUP(C359,'[1]PA 2023'!$G$8:$H$84,2,FALSE)</f>
        <v>APOYO A LA OPERATIVIDAD DE LOS PROGRAMAS DE ATENCIÓN INTEGRAL A LAS PERSONAS CON DISCAPACIDAD. FAMILIARES Y/O CUIDADORES DEL MUNICIPIO DE BUCARAMANGA</v>
      </c>
      <c r="E359" s="13" t="s">
        <v>1108</v>
      </c>
      <c r="F359" s="15">
        <v>39</v>
      </c>
      <c r="G359" s="22" t="s">
        <v>177</v>
      </c>
      <c r="H359" s="21" t="s">
        <v>185</v>
      </c>
      <c r="I359" s="13" t="s">
        <v>202</v>
      </c>
      <c r="J359" s="13" t="s">
        <v>191</v>
      </c>
      <c r="K359" s="16">
        <v>45013</v>
      </c>
      <c r="L359" s="17">
        <v>134400000</v>
      </c>
      <c r="M359" s="17">
        <v>134400000</v>
      </c>
      <c r="N359" s="18">
        <f>28896000+31584000+65856000</f>
        <v>126336000</v>
      </c>
      <c r="O359" s="22" t="s">
        <v>1109</v>
      </c>
      <c r="Q359" s="13">
        <v>3701</v>
      </c>
      <c r="R359" s="23" t="s">
        <v>193</v>
      </c>
      <c r="S359" s="13" t="s">
        <v>204</v>
      </c>
      <c r="T359" s="13" t="s">
        <v>16</v>
      </c>
      <c r="U359" s="17">
        <f>+M359-N359+M1010</f>
        <v>8981200</v>
      </c>
    </row>
    <row r="360" spans="1:21" x14ac:dyDescent="0.3">
      <c r="A360" s="13">
        <v>206</v>
      </c>
      <c r="B360" s="13" t="str">
        <f>+VLOOKUP(A360,'[1]PA 2023'!$A$8:$E$84,5)</f>
        <v>Mantener el Plan General de Asistencia Técnica.</v>
      </c>
      <c r="C360" s="14">
        <v>2020680010123</v>
      </c>
      <c r="D360" s="14" t="str">
        <f>+VLOOKUP(C360,'[1]PA 2023'!$G$8:$H$84,2,FALSE)</f>
        <v>FORTALECIMIENTO DE LA PRODUCTIVIDAD Y COMPETITIVIDAD AGROPECUARIA EN EL SECTOR RURAL DEL MUNICIPIO DE BUCARAMANGA</v>
      </c>
      <c r="E360" s="13" t="s">
        <v>1060</v>
      </c>
      <c r="F360" s="15">
        <v>1808</v>
      </c>
      <c r="G360" s="22" t="s">
        <v>35</v>
      </c>
      <c r="H360" s="21" t="s">
        <v>36</v>
      </c>
      <c r="I360" s="13" t="s">
        <v>1110</v>
      </c>
      <c r="J360" s="13" t="s">
        <v>665</v>
      </c>
      <c r="K360" s="16">
        <v>45013</v>
      </c>
      <c r="L360" s="17">
        <v>4333333.33</v>
      </c>
      <c r="M360" s="17">
        <v>4333333.33</v>
      </c>
      <c r="N360" s="18">
        <f>200000+2000000+66666.67+2000000</f>
        <v>4266666.67</v>
      </c>
      <c r="O360" s="22" t="s">
        <v>1111</v>
      </c>
      <c r="Q360" s="13">
        <v>3768</v>
      </c>
      <c r="R360" s="13" t="s">
        <v>667</v>
      </c>
      <c r="S360" s="13" t="s">
        <v>1112</v>
      </c>
      <c r="T360" s="13" t="s">
        <v>16</v>
      </c>
      <c r="U360" s="17">
        <f t="shared" ref="U360:U382" si="13">+M360-N360</f>
        <v>66666.660000000149</v>
      </c>
    </row>
    <row r="361" spans="1:21" x14ac:dyDescent="0.3">
      <c r="A361" s="13">
        <v>106</v>
      </c>
      <c r="B361" s="13" t="str">
        <f>+VLOOKUP(A361,'[1]PA 2023'!$A$8:$E$84,5)</f>
        <v>Actualizar e implementar la Política Pública de Mujer.</v>
      </c>
      <c r="C361" s="14">
        <v>2020680010106</v>
      </c>
      <c r="D361" s="14" t="str">
        <f>+VLOOKUP(C361,'[1]PA 2023'!$G$8:$H$84,2,FALSE)</f>
        <v>FORTALECIMIENTO DE ESPACIOS DE PARTICIPACIÓN Y PREVENCIÓN DE VIOLENCIAS EN MUJERES Y POBLACIÓN CON ORIENTACIONES SEXUALES E IDENTIDADES DE GÉNERO DIVERSAS DEL MUNICIPIO DE BUCARAMANGA</v>
      </c>
      <c r="E361" s="13" t="s">
        <v>1113</v>
      </c>
      <c r="F361" s="15">
        <v>38</v>
      </c>
      <c r="G361" s="22" t="s">
        <v>1114</v>
      </c>
      <c r="H361" s="21" t="s">
        <v>36</v>
      </c>
      <c r="I361" s="13" t="s">
        <v>1115</v>
      </c>
      <c r="J361" s="13" t="s">
        <v>1116</v>
      </c>
      <c r="K361" s="16">
        <v>45013</v>
      </c>
      <c r="L361" s="17">
        <v>61740888</v>
      </c>
      <c r="M361" s="17">
        <v>31740888</v>
      </c>
      <c r="N361" s="18">
        <v>31740888</v>
      </c>
      <c r="O361" s="22" t="s">
        <v>1117</v>
      </c>
      <c r="Q361" s="13">
        <v>3769</v>
      </c>
      <c r="R361" s="23" t="s">
        <v>380</v>
      </c>
      <c r="S361" s="13" t="s">
        <v>1118</v>
      </c>
      <c r="T361" s="13" t="s">
        <v>16</v>
      </c>
      <c r="U361" s="17">
        <f t="shared" si="13"/>
        <v>0</v>
      </c>
    </row>
    <row r="362" spans="1:21" x14ac:dyDescent="0.3">
      <c r="A362" s="13">
        <v>108</v>
      </c>
      <c r="B362" s="13" t="str">
        <f>+VLOOKUP(A362,'[1]PA 2023'!$A$8:$E$84,5)</f>
        <v>Diseñar y ejecutar 14 campañas comunicativas en espacios públicos y medios masivos de transporte orientadas a la promoción de derechos y a la eliminación de diferentes formas de violencia y discriminación de mujeres y población con orientación sexual e identidad de género diversa.</v>
      </c>
      <c r="C362" s="14">
        <v>2020680010106</v>
      </c>
      <c r="D362" s="14" t="str">
        <f>+VLOOKUP(C362,'[1]PA 2023'!$G$8:$H$84,2,FALSE)</f>
        <v>FORTALECIMIENTO DE ESPACIOS DE PARTICIPACIÓN Y PREVENCIÓN DE VIOLENCIAS EN MUJERES Y POBLACIÓN CON ORIENTACIONES SEXUALES E IDENTIDADES DE GÉNERO DIVERSAS DEL MUNICIPIO DE BUCARAMANGA</v>
      </c>
      <c r="E362" s="13" t="s">
        <v>1113</v>
      </c>
      <c r="F362" s="15">
        <v>38</v>
      </c>
      <c r="G362" s="22" t="s">
        <v>1114</v>
      </c>
      <c r="H362" s="21" t="s">
        <v>36</v>
      </c>
      <c r="I362" s="13" t="s">
        <v>1115</v>
      </c>
      <c r="J362" s="13" t="s">
        <v>1116</v>
      </c>
      <c r="K362" s="16">
        <v>45013</v>
      </c>
      <c r="L362" s="17">
        <v>0</v>
      </c>
      <c r="M362" s="17">
        <v>30000000</v>
      </c>
      <c r="N362" s="18">
        <v>30000000</v>
      </c>
      <c r="O362" s="22" t="s">
        <v>1117</v>
      </c>
      <c r="Q362" s="13">
        <v>3769</v>
      </c>
      <c r="R362" s="23" t="s">
        <v>380</v>
      </c>
      <c r="S362" s="13" t="s">
        <v>1118</v>
      </c>
      <c r="T362" s="13" t="s">
        <v>16</v>
      </c>
      <c r="U362" s="17">
        <f t="shared" si="13"/>
        <v>0</v>
      </c>
    </row>
    <row r="363" spans="1:21" x14ac:dyDescent="0.3">
      <c r="A363" s="13">
        <v>206</v>
      </c>
      <c r="B363" s="13" t="str">
        <f>+VLOOKUP(A363,'[1]PA 2023'!$A$8:$E$84,5)</f>
        <v>Mantener el Plan General de Asistencia Técnica.</v>
      </c>
      <c r="C363" s="14">
        <v>2020680010123</v>
      </c>
      <c r="D363" s="14" t="str">
        <f>+VLOOKUP(C363,'[1]PA 2023'!$G$8:$H$84,2,FALSE)</f>
        <v>FORTALECIMIENTO DE LA PRODUCTIVIDAD Y COMPETITIVIDAD AGROPECUARIA EN EL SECTOR RURAL DEL MUNICIPIO DE BUCARAMANGA</v>
      </c>
      <c r="E363" s="13" t="s">
        <v>1060</v>
      </c>
      <c r="F363" s="15">
        <v>1809</v>
      </c>
      <c r="G363" s="22" t="s">
        <v>35</v>
      </c>
      <c r="H363" s="21" t="s">
        <v>36</v>
      </c>
      <c r="I363" s="13" t="s">
        <v>1119</v>
      </c>
      <c r="J363" s="13" t="s">
        <v>665</v>
      </c>
      <c r="K363" s="16">
        <v>45013</v>
      </c>
      <c r="L363" s="17">
        <v>4333333.33</v>
      </c>
      <c r="M363" s="17">
        <v>4333333.33</v>
      </c>
      <c r="N363" s="18">
        <f>200000+2000000+66666.67+2000000</f>
        <v>4266666.67</v>
      </c>
      <c r="O363" s="22" t="s">
        <v>1120</v>
      </c>
      <c r="Q363" s="13">
        <v>3770</v>
      </c>
      <c r="R363" s="13" t="s">
        <v>667</v>
      </c>
      <c r="S363" s="13" t="s">
        <v>1121</v>
      </c>
      <c r="T363" s="13" t="s">
        <v>16</v>
      </c>
      <c r="U363" s="17">
        <f t="shared" si="13"/>
        <v>66666.660000000149</v>
      </c>
    </row>
    <row r="364" spans="1:21" x14ac:dyDescent="0.3">
      <c r="A364" s="13">
        <v>92</v>
      </c>
      <c r="B364" s="13" t="str">
        <f>+VLOOKUP(A364,'[1]PA 2023'!$A$8:$E$84,5)</f>
        <v>Mantener a 1.656 personas mayores vulnerables con atencion integral en instituciones especializadas a través de las modalidades centros vida y centros de bienestar en el marco de la Ley 1276 de 2009.</v>
      </c>
      <c r="C364" s="14">
        <v>2020680010040</v>
      </c>
      <c r="D364" s="14" t="str">
        <f>+VLOOKUP(C364,'[1]PA 2023'!$G$8:$H$84,2,FALSE)</f>
        <v>IMPLEMENTACIÓN DE ACCIONES TENDIENTES A MEJORAR LAS CONDICIONES DE LOS ADULTOS MAYORES DEL MUNICIPIO DE BUCARAMANGA</v>
      </c>
      <c r="E364" s="13" t="s">
        <v>1122</v>
      </c>
      <c r="F364" s="15">
        <v>46</v>
      </c>
      <c r="G364" s="22" t="s">
        <v>177</v>
      </c>
      <c r="H364" s="21" t="s">
        <v>185</v>
      </c>
      <c r="I364" s="13" t="s">
        <v>421</v>
      </c>
      <c r="J364" s="13" t="s">
        <v>1123</v>
      </c>
      <c r="K364" s="16">
        <v>45014</v>
      </c>
      <c r="L364" s="17">
        <v>35744681</v>
      </c>
      <c r="M364" s="17">
        <v>35744681</v>
      </c>
      <c r="N364" s="18">
        <v>27774610</v>
      </c>
      <c r="O364" s="22" t="s">
        <v>1124</v>
      </c>
      <c r="Q364" s="13">
        <v>3835</v>
      </c>
      <c r="R364" s="13" t="s">
        <v>1125</v>
      </c>
      <c r="S364" s="13" t="s">
        <v>423</v>
      </c>
      <c r="T364" s="13" t="s">
        <v>16</v>
      </c>
      <c r="U364" s="17">
        <f t="shared" si="13"/>
        <v>7970071</v>
      </c>
    </row>
    <row r="365" spans="1:21" x14ac:dyDescent="0.3">
      <c r="A365" s="13">
        <v>92</v>
      </c>
      <c r="B365" s="13" t="str">
        <f>+VLOOKUP(A365,'[1]PA 2023'!$A$8:$E$84,5)</f>
        <v>Mantener a 1.656 personas mayores vulnerables con atencion integral en instituciones especializadas a través de las modalidades centros vida y centros de bienestar en el marco de la Ley 1276 de 2009.</v>
      </c>
      <c r="C365" s="14">
        <v>2020680010040</v>
      </c>
      <c r="D365" s="14" t="str">
        <f>+VLOOKUP(C365,'[1]PA 2023'!$G$8:$H$84,2,FALSE)</f>
        <v>IMPLEMENTACIÓN DE ACCIONES TENDIENTES A MEJORAR LAS CONDICIONES DE LOS ADULTOS MAYORES DEL MUNICIPIO DE BUCARAMANGA</v>
      </c>
      <c r="E365" s="13" t="s">
        <v>1122</v>
      </c>
      <c r="F365" s="15">
        <v>46</v>
      </c>
      <c r="G365" s="22" t="s">
        <v>177</v>
      </c>
      <c r="H365" s="21" t="s">
        <v>185</v>
      </c>
      <c r="I365" s="13" t="s">
        <v>421</v>
      </c>
      <c r="J365" s="13" t="s">
        <v>384</v>
      </c>
      <c r="K365" s="16">
        <v>45014</v>
      </c>
      <c r="L365" s="17">
        <v>101628319</v>
      </c>
      <c r="M365" s="17">
        <v>101628319</v>
      </c>
      <c r="N365" s="18">
        <f>29290450+28216730+29037810+15083329</f>
        <v>101628319</v>
      </c>
      <c r="O365" s="22" t="s">
        <v>1124</v>
      </c>
      <c r="Q365" s="13">
        <v>3836</v>
      </c>
      <c r="R365" s="13" t="s">
        <v>386</v>
      </c>
      <c r="S365" s="13" t="s">
        <v>423</v>
      </c>
      <c r="T365" s="13" t="s">
        <v>16</v>
      </c>
      <c r="U365" s="17">
        <f t="shared" si="13"/>
        <v>0</v>
      </c>
    </row>
    <row r="366" spans="1:21" x14ac:dyDescent="0.3">
      <c r="A366" s="13">
        <v>92</v>
      </c>
      <c r="B366" s="13" t="str">
        <f>+VLOOKUP(A366,'[1]PA 2023'!$A$8:$E$84,5)</f>
        <v>Mantener a 1.656 personas mayores vulnerables con atencion integral en instituciones especializadas a través de las modalidades centros vida y centros de bienestar en el marco de la Ley 1276 de 2009.</v>
      </c>
      <c r="C366" s="14">
        <v>2020680010040</v>
      </c>
      <c r="D366" s="14" t="str">
        <f>+VLOOKUP(C366,'[1]PA 2023'!$G$8:$H$84,2,FALSE)</f>
        <v>IMPLEMENTACIÓN DE ACCIONES TENDIENTES A MEJORAR LAS CONDICIONES DE LOS ADULTOS MAYORES DEL MUNICIPIO DE BUCARAMANGA</v>
      </c>
      <c r="E366" s="13" t="s">
        <v>1122</v>
      </c>
      <c r="F366" s="15">
        <v>46</v>
      </c>
      <c r="G366" s="22" t="s">
        <v>177</v>
      </c>
      <c r="H366" s="21" t="s">
        <v>185</v>
      </c>
      <c r="I366" s="13" t="s">
        <v>421</v>
      </c>
      <c r="J366" s="13" t="s">
        <v>1126</v>
      </c>
      <c r="K366" s="16">
        <v>45014</v>
      </c>
      <c r="L366" s="17">
        <v>213066000</v>
      </c>
      <c r="M366" s="17">
        <v>213066000</v>
      </c>
      <c r="N366" s="18">
        <v>0</v>
      </c>
      <c r="O366" s="22" t="s">
        <v>1124</v>
      </c>
      <c r="Q366" s="13">
        <v>3837</v>
      </c>
      <c r="R366" s="13" t="s">
        <v>1127</v>
      </c>
      <c r="S366" s="13" t="s">
        <v>423</v>
      </c>
      <c r="T366" s="13" t="s">
        <v>16</v>
      </c>
      <c r="U366" s="17">
        <f t="shared" si="13"/>
        <v>213066000</v>
      </c>
    </row>
    <row r="367" spans="1:21" x14ac:dyDescent="0.3">
      <c r="A367" s="13">
        <v>92</v>
      </c>
      <c r="B367" s="13" t="str">
        <f>+VLOOKUP(A367,'[1]PA 2023'!$A$8:$E$84,5)</f>
        <v>Mantener a 1.656 personas mayores vulnerables con atencion integral en instituciones especializadas a través de las modalidades centros vida y centros de bienestar en el marco de la Ley 1276 de 2009.</v>
      </c>
      <c r="C367" s="14">
        <v>2020680010040</v>
      </c>
      <c r="D367" s="14" t="str">
        <f>+VLOOKUP(C367,'[1]PA 2023'!$G$8:$H$84,2,FALSE)</f>
        <v>IMPLEMENTACIÓN DE ACCIONES TENDIENTES A MEJORAR LAS CONDICIONES DE LOS ADULTOS MAYORES DEL MUNICIPIO DE BUCARAMANGA</v>
      </c>
      <c r="E367" s="13" t="s">
        <v>1122</v>
      </c>
      <c r="F367" s="15">
        <v>46</v>
      </c>
      <c r="G367" s="22" t="s">
        <v>177</v>
      </c>
      <c r="H367" s="21" t="s">
        <v>185</v>
      </c>
      <c r="I367" s="13" t="s">
        <v>421</v>
      </c>
      <c r="J367" s="13" t="s">
        <v>372</v>
      </c>
      <c r="K367" s="16">
        <v>45014</v>
      </c>
      <c r="L367" s="17">
        <v>405399960</v>
      </c>
      <c r="M367" s="17">
        <v>405399960</v>
      </c>
      <c r="N367" s="18">
        <f>80085400+78277020+81532104+79310380+81596689</f>
        <v>400801593</v>
      </c>
      <c r="O367" s="22" t="s">
        <v>1124</v>
      </c>
      <c r="Q367" s="13">
        <v>3838</v>
      </c>
      <c r="R367" s="13" t="s">
        <v>374</v>
      </c>
      <c r="S367" s="13" t="s">
        <v>423</v>
      </c>
      <c r="T367" s="13" t="s">
        <v>16</v>
      </c>
      <c r="U367" s="17">
        <f t="shared" si="13"/>
        <v>4598367</v>
      </c>
    </row>
    <row r="368" spans="1:21" x14ac:dyDescent="0.3">
      <c r="A368" s="13">
        <v>93</v>
      </c>
      <c r="B368" s="13" t="str">
        <f>+VLOOKUP(A368,'[1]PA 2023'!$A$8:$E$84,5)</f>
        <v>Mantener en funcionamiento los 3 Centros Vida con la prestacion de servicios integrales y/o dotacion de los mismos cumpliendo con la oferta institucional.</v>
      </c>
      <c r="C368" s="14">
        <v>2020680010040</v>
      </c>
      <c r="D368" s="14" t="str">
        <f>+VLOOKUP(C368,'[1]PA 2023'!$G$8:$H$84,2,FALSE)</f>
        <v>IMPLEMENTACIÓN DE ACCIONES TENDIENTES A MEJORAR LAS CONDICIONES DE LOS ADULTOS MAYORES DEL MUNICIPIO DE BUCARAMANGA</v>
      </c>
      <c r="E368" s="13" t="s">
        <v>1128</v>
      </c>
      <c r="F368" s="15" t="s">
        <v>22</v>
      </c>
      <c r="G368" s="22" t="s">
        <v>23</v>
      </c>
      <c r="H368" s="21" t="s">
        <v>23</v>
      </c>
      <c r="I368" s="13" t="s">
        <v>260</v>
      </c>
      <c r="J368" s="13" t="s">
        <v>25</v>
      </c>
      <c r="K368" s="16">
        <v>45015</v>
      </c>
      <c r="L368" s="17">
        <v>2392689</v>
      </c>
      <c r="M368" s="17">
        <v>2392689</v>
      </c>
      <c r="N368" s="18">
        <v>2392689</v>
      </c>
      <c r="O368" s="15" t="s">
        <v>23</v>
      </c>
      <c r="Q368" s="13">
        <v>3842</v>
      </c>
      <c r="R368" s="13" t="s">
        <v>26</v>
      </c>
      <c r="S368" s="13" t="s">
        <v>261</v>
      </c>
      <c r="T368" s="13" t="s">
        <v>16</v>
      </c>
      <c r="U368" s="17">
        <f t="shared" si="13"/>
        <v>0</v>
      </c>
    </row>
    <row r="369" spans="1:21" x14ac:dyDescent="0.3">
      <c r="A369" s="13">
        <v>285</v>
      </c>
      <c r="B369" s="13" t="str">
        <f>+VLOOKUP(A369,'[1]PA 2023'!$A$8:$E$84,5)</f>
        <v>Mantener en funcionamiento el 100% de los salones comunales que hacen parte del programa Ágoras.</v>
      </c>
      <c r="C369" s="14">
        <v>2022680010029</v>
      </c>
      <c r="D369" s="14" t="str">
        <f>+VLOOKUP(C369,'[1]PA 2023'!$G$8:$H$84,2,FALSE)</f>
        <v>FORTALECIMIENTO DE LA PARTICIPACIÓN CIUDADANA EN EL MUNICIPIO DE BUCARAMANGA</v>
      </c>
      <c r="E369" s="13" t="s">
        <v>1129</v>
      </c>
      <c r="F369" s="15" t="s">
        <v>22</v>
      </c>
      <c r="G369" s="22" t="s">
        <v>23</v>
      </c>
      <c r="H369" s="21" t="s">
        <v>23</v>
      </c>
      <c r="I369" s="13" t="s">
        <v>470</v>
      </c>
      <c r="J369" s="13" t="s">
        <v>1130</v>
      </c>
      <c r="K369" s="16">
        <v>45015</v>
      </c>
      <c r="L369" s="17">
        <v>1767002.44</v>
      </c>
      <c r="M369" s="17">
        <v>1767002.44</v>
      </c>
      <c r="N369" s="18">
        <v>1767002.44</v>
      </c>
      <c r="O369" s="15" t="s">
        <v>23</v>
      </c>
      <c r="Q369" s="13">
        <v>3865</v>
      </c>
      <c r="R369" s="13" t="s">
        <v>134</v>
      </c>
      <c r="S369" s="13" t="s">
        <v>471</v>
      </c>
      <c r="T369" s="13" t="s">
        <v>16</v>
      </c>
      <c r="U369" s="17">
        <f t="shared" si="13"/>
        <v>0</v>
      </c>
    </row>
    <row r="370" spans="1:21" x14ac:dyDescent="0.3">
      <c r="A370" s="13">
        <v>285</v>
      </c>
      <c r="B370" s="13" t="str">
        <f>+VLOOKUP(A370,'[1]PA 2023'!$A$8:$E$84,5)</f>
        <v>Mantener en funcionamiento el 100% de los salones comunales que hacen parte del programa Ágoras.</v>
      </c>
      <c r="C370" s="14">
        <v>2022680010029</v>
      </c>
      <c r="D370" s="14" t="str">
        <f>+VLOOKUP(C370,'[1]PA 2023'!$G$8:$H$84,2,FALSE)</f>
        <v>FORTALECIMIENTO DE LA PARTICIPACIÓN CIUDADANA EN EL MUNICIPIO DE BUCARAMANGA</v>
      </c>
      <c r="E370" s="13" t="s">
        <v>1131</v>
      </c>
      <c r="F370" s="15" t="s">
        <v>22</v>
      </c>
      <c r="G370" s="22" t="s">
        <v>23</v>
      </c>
      <c r="H370" s="21" t="s">
        <v>23</v>
      </c>
      <c r="I370" s="13" t="s">
        <v>904</v>
      </c>
      <c r="J370" s="13" t="s">
        <v>1130</v>
      </c>
      <c r="K370" s="16">
        <v>45015</v>
      </c>
      <c r="L370" s="17">
        <v>875007</v>
      </c>
      <c r="M370" s="17">
        <v>875007</v>
      </c>
      <c r="N370" s="18">
        <v>875007</v>
      </c>
      <c r="O370" s="15" t="s">
        <v>23</v>
      </c>
      <c r="Q370" s="13">
        <v>3866</v>
      </c>
      <c r="R370" s="13" t="s">
        <v>134</v>
      </c>
      <c r="S370" s="13" t="s">
        <v>905</v>
      </c>
      <c r="T370" s="13" t="s">
        <v>16</v>
      </c>
      <c r="U370" s="17">
        <f t="shared" si="13"/>
        <v>0</v>
      </c>
    </row>
    <row r="371" spans="1:21" x14ac:dyDescent="0.3">
      <c r="A371" s="13">
        <v>285</v>
      </c>
      <c r="B371" s="13" t="str">
        <f>+VLOOKUP(A371,'[1]PA 2023'!$A$8:$E$84,5)</f>
        <v>Mantener en funcionamiento el 100% de los salones comunales que hacen parte del programa Ágoras.</v>
      </c>
      <c r="C371" s="14">
        <v>2022680010029</v>
      </c>
      <c r="D371" s="14" t="str">
        <f>+VLOOKUP(C371,'[1]PA 2023'!$G$8:$H$84,2,FALSE)</f>
        <v>FORTALECIMIENTO DE LA PARTICIPACIÓN CIUDADANA EN EL MUNICIPIO DE BUCARAMANGA</v>
      </c>
      <c r="E371" s="13" t="s">
        <v>1132</v>
      </c>
      <c r="F371" s="15" t="s">
        <v>22</v>
      </c>
      <c r="G371" s="22" t="s">
        <v>23</v>
      </c>
      <c r="H371" s="21" t="s">
        <v>23</v>
      </c>
      <c r="I371" s="13" t="s">
        <v>24</v>
      </c>
      <c r="J371" s="13" t="s">
        <v>1130</v>
      </c>
      <c r="K371" s="16">
        <v>45015</v>
      </c>
      <c r="L371" s="17">
        <v>224090</v>
      </c>
      <c r="M371" s="17">
        <v>224090</v>
      </c>
      <c r="N371" s="18">
        <v>224090</v>
      </c>
      <c r="O371" s="15" t="s">
        <v>23</v>
      </c>
      <c r="Q371" s="13">
        <v>3867</v>
      </c>
      <c r="R371" s="13" t="s">
        <v>134</v>
      </c>
      <c r="S371" s="13" t="s">
        <v>27</v>
      </c>
      <c r="T371" s="13" t="s">
        <v>16</v>
      </c>
      <c r="U371" s="17">
        <f t="shared" si="13"/>
        <v>0</v>
      </c>
    </row>
    <row r="372" spans="1:21" x14ac:dyDescent="0.3">
      <c r="A372" s="13">
        <v>92</v>
      </c>
      <c r="B372" s="13" t="str">
        <f>+VLOOKUP(A372,'[1]PA 2023'!$A$8:$E$84,5)</f>
        <v>Mantener a 1.656 personas mayores vulnerables con atencion integral en instituciones especializadas a través de las modalidades centros vida y centros de bienestar en el marco de la Ley 1276 de 2009.</v>
      </c>
      <c r="C372" s="14">
        <v>2020680010040</v>
      </c>
      <c r="D372" s="14" t="str">
        <f>+VLOOKUP(C372,'[1]PA 2023'!$G$8:$H$84,2,FALSE)</f>
        <v>IMPLEMENTACIÓN DE ACCIONES TENDIENTES A MEJORAR LAS CONDICIONES DE LOS ADULTOS MAYORES DEL MUNICIPIO DE BUCARAMANGA</v>
      </c>
      <c r="E372" s="13" t="s">
        <v>1122</v>
      </c>
      <c r="F372" s="15">
        <v>42</v>
      </c>
      <c r="G372" s="22" t="s">
        <v>177</v>
      </c>
      <c r="H372" s="21" t="s">
        <v>185</v>
      </c>
      <c r="I372" s="13" t="s">
        <v>417</v>
      </c>
      <c r="J372" s="13" t="s">
        <v>372</v>
      </c>
      <c r="K372" s="16">
        <v>45015</v>
      </c>
      <c r="L372" s="17">
        <v>96523800</v>
      </c>
      <c r="M372" s="17">
        <v>96523800</v>
      </c>
      <c r="N372" s="18">
        <f>14789965+14247451+14815799+14118281</f>
        <v>57971496</v>
      </c>
      <c r="O372" s="22" t="s">
        <v>1133</v>
      </c>
      <c r="Q372" s="13">
        <v>3868</v>
      </c>
      <c r="R372" s="13" t="s">
        <v>374</v>
      </c>
      <c r="S372" s="13" t="s">
        <v>419</v>
      </c>
      <c r="T372" s="13" t="s">
        <v>16</v>
      </c>
      <c r="U372" s="17">
        <f t="shared" si="13"/>
        <v>38552304</v>
      </c>
    </row>
    <row r="373" spans="1:21" x14ac:dyDescent="0.3">
      <c r="A373" s="13">
        <v>92</v>
      </c>
      <c r="B373" s="13" t="str">
        <f>+VLOOKUP(A373,'[1]PA 2023'!$A$8:$E$84,5)</f>
        <v>Mantener a 1.656 personas mayores vulnerables con atencion integral en instituciones especializadas a través de las modalidades centros vida y centros de bienestar en el marco de la Ley 1276 de 2009.</v>
      </c>
      <c r="C373" s="14">
        <v>2020680010040</v>
      </c>
      <c r="D373" s="14" t="str">
        <f>+VLOOKUP(C373,'[1]PA 2023'!$G$8:$H$84,2,FALSE)</f>
        <v>IMPLEMENTACIÓN DE ACCIONES TENDIENTES A MEJORAR LAS CONDICIONES DE LOS ADULTOS MAYORES DEL MUNICIPIO DE BUCARAMANGA</v>
      </c>
      <c r="E373" s="13" t="s">
        <v>1122</v>
      </c>
      <c r="F373" s="15">
        <v>42</v>
      </c>
      <c r="G373" s="22" t="s">
        <v>177</v>
      </c>
      <c r="H373" s="21" t="s">
        <v>185</v>
      </c>
      <c r="I373" s="13" t="s">
        <v>417</v>
      </c>
      <c r="J373" s="13" t="s">
        <v>1126</v>
      </c>
      <c r="K373" s="16">
        <v>45015</v>
      </c>
      <c r="L373" s="17">
        <v>50730000</v>
      </c>
      <c r="M373" s="17">
        <v>50730000</v>
      </c>
      <c r="N373" s="18">
        <v>0</v>
      </c>
      <c r="O373" s="22" t="s">
        <v>1133</v>
      </c>
      <c r="Q373" s="13">
        <v>3869</v>
      </c>
      <c r="R373" s="13" t="s">
        <v>1127</v>
      </c>
      <c r="S373" s="13" t="s">
        <v>419</v>
      </c>
      <c r="T373" s="13" t="s">
        <v>16</v>
      </c>
      <c r="U373" s="17">
        <f t="shared" si="13"/>
        <v>50730000</v>
      </c>
    </row>
    <row r="374" spans="1:21" x14ac:dyDescent="0.3">
      <c r="A374" s="13">
        <v>92</v>
      </c>
      <c r="B374" s="13" t="str">
        <f>+VLOOKUP(A374,'[1]PA 2023'!$A$8:$E$84,5)</f>
        <v>Mantener a 1.656 personas mayores vulnerables con atencion integral en instituciones especializadas a través de las modalidades centros vida y centros de bienestar en el marco de la Ley 1276 de 2009.</v>
      </c>
      <c r="C374" s="14">
        <v>2020680010040</v>
      </c>
      <c r="D374" s="14" t="str">
        <f>+VLOOKUP(C374,'[1]PA 2023'!$G$8:$H$84,2,FALSE)</f>
        <v>IMPLEMENTACIÓN DE ACCIONES TENDIENTES A MEJORAR LAS CONDICIONES DE LOS ADULTOS MAYORES DEL MUNICIPIO DE BUCARAMANGA</v>
      </c>
      <c r="E374" s="13" t="s">
        <v>1122</v>
      </c>
      <c r="F374" s="15">
        <v>42</v>
      </c>
      <c r="G374" s="22" t="s">
        <v>177</v>
      </c>
      <c r="H374" s="21" t="s">
        <v>185</v>
      </c>
      <c r="I374" s="13" t="s">
        <v>417</v>
      </c>
      <c r="J374" s="13" t="s">
        <v>384</v>
      </c>
      <c r="K374" s="16">
        <v>45015</v>
      </c>
      <c r="L374" s="17">
        <v>59838100</v>
      </c>
      <c r="M374" s="17">
        <v>59838100</v>
      </c>
      <c r="N374" s="18">
        <f>16784770+16279490+16958460</f>
        <v>50022720</v>
      </c>
      <c r="O374" s="22" t="s">
        <v>1133</v>
      </c>
      <c r="Q374" s="13">
        <v>3870</v>
      </c>
      <c r="R374" s="13" t="s">
        <v>386</v>
      </c>
      <c r="S374" s="13" t="s">
        <v>419</v>
      </c>
      <c r="T374" s="13" t="s">
        <v>16</v>
      </c>
      <c r="U374" s="17">
        <f t="shared" si="13"/>
        <v>9815380</v>
      </c>
    </row>
    <row r="375" spans="1:21" x14ac:dyDescent="0.3">
      <c r="A375" s="13">
        <v>92</v>
      </c>
      <c r="B375" s="13" t="str">
        <f>+VLOOKUP(A375,'[1]PA 2023'!$A$8:$E$84,5)</f>
        <v>Mantener a 1.656 personas mayores vulnerables con atencion integral en instituciones especializadas a través de las modalidades centros vida y centros de bienestar en el marco de la Ley 1276 de 2009.</v>
      </c>
      <c r="C375" s="14">
        <v>2020680010040</v>
      </c>
      <c r="D375" s="14" t="str">
        <f>+VLOOKUP(C375,'[1]PA 2023'!$G$8:$H$84,2,FALSE)</f>
        <v>IMPLEMENTACIÓN DE ACCIONES TENDIENTES A MEJORAR LAS CONDICIONES DE LOS ADULTOS MAYORES DEL MUNICIPIO DE BUCARAMANGA</v>
      </c>
      <c r="E375" s="13" t="s">
        <v>1122</v>
      </c>
      <c r="F375" s="15">
        <v>42</v>
      </c>
      <c r="G375" s="22" t="s">
        <v>177</v>
      </c>
      <c r="H375" s="21" t="s">
        <v>185</v>
      </c>
      <c r="I375" s="13" t="s">
        <v>417</v>
      </c>
      <c r="J375" s="13" t="s">
        <v>1123</v>
      </c>
      <c r="K375" s="16">
        <v>45015</v>
      </c>
      <c r="L375" s="17">
        <v>20848800</v>
      </c>
      <c r="M375" s="17">
        <v>20848800</v>
      </c>
      <c r="N375" s="18">
        <v>16579500</v>
      </c>
      <c r="O375" s="22" t="s">
        <v>1133</v>
      </c>
      <c r="Q375" s="13">
        <v>3871</v>
      </c>
      <c r="R375" s="13" t="s">
        <v>1125</v>
      </c>
      <c r="S375" s="13" t="s">
        <v>419</v>
      </c>
      <c r="T375" s="13" t="s">
        <v>16</v>
      </c>
      <c r="U375" s="17">
        <f t="shared" si="13"/>
        <v>4269300</v>
      </c>
    </row>
    <row r="376" spans="1:21" x14ac:dyDescent="0.3">
      <c r="A376" s="13">
        <v>92</v>
      </c>
      <c r="B376" s="13" t="str">
        <f>+VLOOKUP(A376,'[1]PA 2023'!$A$8:$E$84,5)</f>
        <v>Mantener a 1.656 personas mayores vulnerables con atencion integral en instituciones especializadas a través de las modalidades centros vida y centros de bienestar en el marco de la Ley 1276 de 2009.</v>
      </c>
      <c r="C376" s="14">
        <v>2020680010040</v>
      </c>
      <c r="D376" s="14" t="str">
        <f>+VLOOKUP(C376,'[1]PA 2023'!$G$8:$H$84,2,FALSE)</f>
        <v>IMPLEMENTACIÓN DE ACCIONES TENDIENTES A MEJORAR LAS CONDICIONES DE LOS ADULTOS MAYORES DEL MUNICIPIO DE BUCARAMANGA</v>
      </c>
      <c r="E376" s="13" t="s">
        <v>1134</v>
      </c>
      <c r="F376" s="15">
        <v>48</v>
      </c>
      <c r="G376" s="22" t="s">
        <v>177</v>
      </c>
      <c r="H376" s="21" t="s">
        <v>185</v>
      </c>
      <c r="I376" s="13" t="s">
        <v>371</v>
      </c>
      <c r="J376" s="13" t="s">
        <v>372</v>
      </c>
      <c r="K376" s="16">
        <v>45016</v>
      </c>
      <c r="L376" s="17">
        <v>154438080</v>
      </c>
      <c r="M376" s="17">
        <v>154438080</v>
      </c>
      <c r="N376" s="18">
        <f>30225780+31233306+29476594+32292500</f>
        <v>123228180</v>
      </c>
      <c r="O376" s="22" t="s">
        <v>1135</v>
      </c>
      <c r="Q376" s="13">
        <v>3896</v>
      </c>
      <c r="R376" s="13" t="s">
        <v>374</v>
      </c>
      <c r="S376" s="13" t="s">
        <v>375</v>
      </c>
      <c r="T376" s="13" t="s">
        <v>16</v>
      </c>
      <c r="U376" s="17">
        <f t="shared" si="13"/>
        <v>31209900</v>
      </c>
    </row>
    <row r="377" spans="1:21" x14ac:dyDescent="0.3">
      <c r="A377" s="13">
        <v>92</v>
      </c>
      <c r="B377" s="13" t="str">
        <f>+VLOOKUP(A377,'[1]PA 2023'!$A$8:$E$84,5)</f>
        <v>Mantener a 1.656 personas mayores vulnerables con atencion integral en instituciones especializadas a través de las modalidades centros vida y centros de bienestar en el marco de la Ley 1276 de 2009.</v>
      </c>
      <c r="C377" s="14">
        <v>2020680010040</v>
      </c>
      <c r="D377" s="14" t="str">
        <f>+VLOOKUP(C377,'[1]PA 2023'!$G$8:$H$84,2,FALSE)</f>
        <v>IMPLEMENTACIÓN DE ACCIONES TENDIENTES A MEJORAR LAS CONDICIONES DE LOS ADULTOS MAYORES DEL MUNICIPIO DE BUCARAMANGA</v>
      </c>
      <c r="E377" s="13" t="s">
        <v>1122</v>
      </c>
      <c r="F377" s="15">
        <v>48</v>
      </c>
      <c r="G377" s="22" t="s">
        <v>177</v>
      </c>
      <c r="H377" s="21" t="s">
        <v>185</v>
      </c>
      <c r="I377" s="13" t="s">
        <v>371</v>
      </c>
      <c r="J377" s="13" t="s">
        <v>1126</v>
      </c>
      <c r="K377" s="16">
        <v>45016</v>
      </c>
      <c r="L377" s="17">
        <v>81168000</v>
      </c>
      <c r="M377" s="17">
        <v>81168000</v>
      </c>
      <c r="N377" s="18">
        <v>0</v>
      </c>
      <c r="O377" s="22" t="s">
        <v>1135</v>
      </c>
      <c r="Q377" s="13">
        <v>3897</v>
      </c>
      <c r="R377" s="13" t="s">
        <v>1127</v>
      </c>
      <c r="S377" s="13" t="s">
        <v>375</v>
      </c>
      <c r="T377" s="13" t="s">
        <v>16</v>
      </c>
      <c r="U377" s="17">
        <f t="shared" si="13"/>
        <v>81168000</v>
      </c>
    </row>
    <row r="378" spans="1:21" x14ac:dyDescent="0.3">
      <c r="A378" s="13">
        <v>92</v>
      </c>
      <c r="B378" s="13" t="str">
        <f>+VLOOKUP(A378,'[1]PA 2023'!$A$8:$E$84,5)</f>
        <v>Mantener a 1.656 personas mayores vulnerables con atencion integral en instituciones especializadas a través de las modalidades centros vida y centros de bienestar en el marco de la Ley 1276 de 2009.</v>
      </c>
      <c r="C378" s="14">
        <v>2020680010040</v>
      </c>
      <c r="D378" s="14" t="str">
        <f>+VLOOKUP(C378,'[1]PA 2023'!$G$8:$H$84,2,FALSE)</f>
        <v>IMPLEMENTACIÓN DE ACCIONES TENDIENTES A MEJORAR LAS CONDICIONES DE LOS ADULTOS MAYORES DEL MUNICIPIO DE BUCARAMANGA</v>
      </c>
      <c r="E378" s="13" t="s">
        <v>1122</v>
      </c>
      <c r="F378" s="15">
        <v>48</v>
      </c>
      <c r="G378" s="22" t="s">
        <v>177</v>
      </c>
      <c r="H378" s="21" t="s">
        <v>185</v>
      </c>
      <c r="I378" s="13" t="s">
        <v>371</v>
      </c>
      <c r="J378" s="13" t="s">
        <v>384</v>
      </c>
      <c r="K378" s="16">
        <v>45016</v>
      </c>
      <c r="L378" s="17">
        <v>25644900</v>
      </c>
      <c r="M378" s="17">
        <v>25644900</v>
      </c>
      <c r="N378" s="18">
        <f>7105500+7342350+6694960</f>
        <v>21142810</v>
      </c>
      <c r="O378" s="22" t="s">
        <v>1135</v>
      </c>
      <c r="Q378" s="13">
        <v>3898</v>
      </c>
      <c r="R378" s="13" t="s">
        <v>386</v>
      </c>
      <c r="S378" s="13" t="s">
        <v>375</v>
      </c>
      <c r="T378" s="13" t="s">
        <v>16</v>
      </c>
      <c r="U378" s="17">
        <f t="shared" si="13"/>
        <v>4502090</v>
      </c>
    </row>
    <row r="379" spans="1:21" x14ac:dyDescent="0.3">
      <c r="A379" s="13">
        <v>92</v>
      </c>
      <c r="B379" s="13" t="str">
        <f>+VLOOKUP(A379,'[1]PA 2023'!$A$8:$E$84,5)</f>
        <v>Mantener a 1.656 personas mayores vulnerables con atencion integral en instituciones especializadas a través de las modalidades centros vida y centros de bienestar en el marco de la Ley 1276 de 2009.</v>
      </c>
      <c r="C379" s="14">
        <v>2020680010040</v>
      </c>
      <c r="D379" s="14" t="str">
        <f>+VLOOKUP(C379,'[1]PA 2023'!$G$8:$H$84,2,FALSE)</f>
        <v>IMPLEMENTACIÓN DE ACCIONES TENDIENTES A MEJORAR LAS CONDICIONES DE LOS ADULTOS MAYORES DEL MUNICIPIO DE BUCARAMANGA</v>
      </c>
      <c r="E379" s="13" t="s">
        <v>1122</v>
      </c>
      <c r="F379" s="15">
        <v>48</v>
      </c>
      <c r="G379" s="22" t="s">
        <v>177</v>
      </c>
      <c r="H379" s="21" t="s">
        <v>185</v>
      </c>
      <c r="I379" s="13" t="s">
        <v>371</v>
      </c>
      <c r="J379" s="13" t="s">
        <v>1123</v>
      </c>
      <c r="K379" s="16">
        <v>45016</v>
      </c>
      <c r="L379" s="17">
        <v>8935200</v>
      </c>
      <c r="M379" s="17">
        <v>8935200</v>
      </c>
      <c r="N379" s="18">
        <v>6852860</v>
      </c>
      <c r="O379" s="22" t="s">
        <v>1135</v>
      </c>
      <c r="Q379" s="13">
        <v>3899</v>
      </c>
      <c r="R379" s="13" t="s">
        <v>1125</v>
      </c>
      <c r="S379" s="13" t="s">
        <v>375</v>
      </c>
      <c r="T379" s="13" t="s">
        <v>16</v>
      </c>
      <c r="U379" s="17">
        <f t="shared" si="13"/>
        <v>2082340</v>
      </c>
    </row>
    <row r="380" spans="1:21" x14ac:dyDescent="0.3">
      <c r="A380" s="13">
        <v>92</v>
      </c>
      <c r="B380" s="13" t="str">
        <f>+VLOOKUP(A380,'[1]PA 2023'!$A$8:$E$84,5)</f>
        <v>Mantener a 1.656 personas mayores vulnerables con atencion integral en instituciones especializadas a través de las modalidades centros vida y centros de bienestar en el marco de la Ley 1276 de 2009.</v>
      </c>
      <c r="C380" s="14">
        <v>2020680010040</v>
      </c>
      <c r="D380" s="14" t="str">
        <f>+VLOOKUP(C380,'[1]PA 2023'!$G$8:$H$84,2,FALSE)</f>
        <v>IMPLEMENTACIÓN DE ACCIONES TENDIENTES A MEJORAR LAS CONDICIONES DE LOS ADULTOS MAYORES DEL MUNICIPIO DE BUCARAMANGA</v>
      </c>
      <c r="E380" s="13" t="s">
        <v>1122</v>
      </c>
      <c r="F380" s="15">
        <v>50</v>
      </c>
      <c r="G380" s="22" t="s">
        <v>184</v>
      </c>
      <c r="H380" s="21" t="s">
        <v>185</v>
      </c>
      <c r="I380" s="13" t="s">
        <v>383</v>
      </c>
      <c r="J380" s="13" t="s">
        <v>384</v>
      </c>
      <c r="K380" s="16">
        <v>45016</v>
      </c>
      <c r="L380" s="17">
        <v>127035399</v>
      </c>
      <c r="M380" s="17">
        <v>127035399</v>
      </c>
      <c r="N380" s="18">
        <f>36711750+35527500+36711750</f>
        <v>108951000</v>
      </c>
      <c r="O380" s="22" t="s">
        <v>1136</v>
      </c>
      <c r="Q380" s="13">
        <v>3900</v>
      </c>
      <c r="R380" s="13" t="s">
        <v>386</v>
      </c>
      <c r="S380" s="13" t="s">
        <v>387</v>
      </c>
      <c r="T380" s="13" t="s">
        <v>16</v>
      </c>
      <c r="U380" s="17">
        <f t="shared" si="13"/>
        <v>18084399</v>
      </c>
    </row>
    <row r="381" spans="1:21" x14ac:dyDescent="0.3">
      <c r="A381" s="13">
        <v>117</v>
      </c>
      <c r="B381" s="13" t="str">
        <f>+VLOOKUP(A381,'[1]PA 2023'!$A$8:$E$84,5)</f>
        <v>Formular e implementar 1 estrategia de orientación ocupacional, aprovechamiento del tiempo libre, formación y esparcimiento cultural y actividades que mejoren la calidad de vida dirigidas a personas con discapacidad.</v>
      </c>
      <c r="C381" s="14">
        <v>2020680010121</v>
      </c>
      <c r="D381" s="14" t="str">
        <f>+VLOOKUP(C381,'[1]PA 2023'!$G$8:$H$84,2,FALSE)</f>
        <v>APOYO A LA OPERATIVIDAD DE LOS PROGRAMAS DE ATENCIÓN INTEGRAL A LAS PERSONAS CON DISCAPACIDAD. FAMILIARES Y/O CUIDADORES DEL MUNICIPIO DE BUCARAMANGA</v>
      </c>
      <c r="E381" s="13" t="s">
        <v>1137</v>
      </c>
      <c r="F381" s="15">
        <v>1832</v>
      </c>
      <c r="G381" s="21" t="s">
        <v>43</v>
      </c>
      <c r="H381" s="21" t="s">
        <v>36</v>
      </c>
      <c r="I381" s="13" t="s">
        <v>1138</v>
      </c>
      <c r="J381" s="13" t="s">
        <v>207</v>
      </c>
      <c r="K381" s="16">
        <v>45016</v>
      </c>
      <c r="L381" s="17">
        <v>6000000</v>
      </c>
      <c r="M381" s="17">
        <v>6000000</v>
      </c>
      <c r="N381" s="18">
        <f>2100000+3000000</f>
        <v>5100000</v>
      </c>
      <c r="O381" s="22" t="s">
        <v>1139</v>
      </c>
      <c r="Q381" s="13">
        <v>3903</v>
      </c>
      <c r="R381" s="13" t="s">
        <v>193</v>
      </c>
      <c r="S381" s="13" t="s">
        <v>1140</v>
      </c>
      <c r="T381" s="13" t="s">
        <v>16</v>
      </c>
      <c r="U381" s="17">
        <f t="shared" si="13"/>
        <v>900000</v>
      </c>
    </row>
    <row r="382" spans="1:21" x14ac:dyDescent="0.3">
      <c r="A382" s="13">
        <v>107</v>
      </c>
      <c r="B382" s="13" t="str">
        <f>+VLOOKUP(A382,'[1]PA 2023'!$A$8:$E$84,5)</f>
        <v>Formular e implementar 1 política pública para la población con orientación sexual e identidad de género diversa.</v>
      </c>
      <c r="C382" s="14">
        <v>2020680010106</v>
      </c>
      <c r="D382" s="14" t="str">
        <f>+VLOOKUP(C382,'[1]PA 2023'!$G$8:$H$84,2,FALSE)</f>
        <v>FORTALECIMIENTO DE ESPACIOS DE PARTICIPACIÓN Y PREVENCIÓN DE VIOLENCIAS EN MUJERES Y POBLACIÓN CON ORIENTACIONES SEXUALES E IDENTIDADES DE GÉNERO DIVERSAS DEL MUNICIPIO DE BUCARAMANGA</v>
      </c>
      <c r="E382" s="13" t="s">
        <v>1141</v>
      </c>
      <c r="F382" s="15">
        <v>1830</v>
      </c>
      <c r="G382" s="21" t="s">
        <v>35</v>
      </c>
      <c r="H382" s="21" t="s">
        <v>36</v>
      </c>
      <c r="I382" s="13" t="s">
        <v>1142</v>
      </c>
      <c r="J382" s="13" t="s">
        <v>378</v>
      </c>
      <c r="K382" s="16">
        <v>45016</v>
      </c>
      <c r="L382" s="17">
        <v>4000000</v>
      </c>
      <c r="M382" s="17">
        <v>4000000</v>
      </c>
      <c r="N382" s="18">
        <f>2000000+2000000</f>
        <v>4000000</v>
      </c>
      <c r="O382" s="22" t="s">
        <v>1143</v>
      </c>
      <c r="Q382" s="13">
        <v>3904</v>
      </c>
      <c r="R382" s="13" t="s">
        <v>380</v>
      </c>
      <c r="S382" s="13" t="s">
        <v>1144</v>
      </c>
      <c r="T382" s="13" t="s">
        <v>16</v>
      </c>
      <c r="U382" s="17">
        <f t="shared" si="13"/>
        <v>0</v>
      </c>
    </row>
    <row r="383" spans="1:21" x14ac:dyDescent="0.3">
      <c r="A383" s="13">
        <v>115</v>
      </c>
      <c r="B383" s="13" t="str">
        <f>+VLOOKUP(A383,'[1]PA 2023'!$A$8:$E$84,5)</f>
        <v>Garantizar y mantener la atención integral en procesos de habilitación y rehabilitación a 250 niñas, niños y adolescentes con discapacidad del sector urbano y rural en extrema vulnerabilidad.</v>
      </c>
      <c r="C383" s="14">
        <v>2020680010121</v>
      </c>
      <c r="D383" s="14" t="str">
        <f>+VLOOKUP(C383,'[1]PA 2023'!$G$8:$H$84,2,FALSE)</f>
        <v>APOYO A LA OPERATIVIDAD DE LOS PROGRAMAS DE ATENCIÓN INTEGRAL A LAS PERSONAS CON DISCAPACIDAD. FAMILIARES Y/O CUIDADORES DEL MUNICIPIO DE BUCARAMANGA</v>
      </c>
      <c r="E383" s="13" t="s">
        <v>1145</v>
      </c>
      <c r="F383" s="15">
        <v>43</v>
      </c>
      <c r="G383" s="22" t="s">
        <v>177</v>
      </c>
      <c r="H383" s="21" t="s">
        <v>185</v>
      </c>
      <c r="I383" s="13" t="s">
        <v>439</v>
      </c>
      <c r="J383" s="13" t="s">
        <v>191</v>
      </c>
      <c r="K383" s="16">
        <v>45016</v>
      </c>
      <c r="L383" s="17">
        <v>172032000</v>
      </c>
      <c r="M383" s="17">
        <v>172032000</v>
      </c>
      <c r="N383" s="18">
        <f>26880000+29568000+34272000+34272000</f>
        <v>124992000</v>
      </c>
      <c r="O383" s="22" t="s">
        <v>1146</v>
      </c>
      <c r="Q383" s="13">
        <v>3905</v>
      </c>
      <c r="R383" s="23" t="s">
        <v>193</v>
      </c>
      <c r="S383" s="13" t="s">
        <v>441</v>
      </c>
      <c r="T383" s="13" t="s">
        <v>16</v>
      </c>
      <c r="U383" s="17">
        <f>+M383-N383+M1109</f>
        <v>47040000</v>
      </c>
    </row>
    <row r="384" spans="1:21" x14ac:dyDescent="0.3">
      <c r="A384" s="13">
        <v>92</v>
      </c>
      <c r="B384" s="13" t="str">
        <f>+VLOOKUP(A384,'[1]PA 2023'!$A$8:$E$84,5)</f>
        <v>Mantener a 1.656 personas mayores vulnerables con atencion integral en instituciones especializadas a través de las modalidades centros vida y centros de bienestar en el marco de la Ley 1276 de 2009.</v>
      </c>
      <c r="C384" s="14">
        <v>2020680010040</v>
      </c>
      <c r="D384" s="14" t="str">
        <f>+VLOOKUP(C384,'[1]PA 2023'!$G$8:$H$84,2,FALSE)</f>
        <v>IMPLEMENTACIÓN DE ACCIONES TENDIENTES A MEJORAR LAS CONDICIONES DE LOS ADULTOS MAYORES DEL MUNICIPIO DE BUCARAMANGA</v>
      </c>
      <c r="E384" s="13" t="s">
        <v>1122</v>
      </c>
      <c r="F384" s="15">
        <v>49</v>
      </c>
      <c r="G384" s="22" t="s">
        <v>184</v>
      </c>
      <c r="H384" s="21" t="s">
        <v>185</v>
      </c>
      <c r="I384" s="13" t="s">
        <v>389</v>
      </c>
      <c r="J384" s="13" t="s">
        <v>372</v>
      </c>
      <c r="K384" s="16">
        <v>45016</v>
      </c>
      <c r="L384" s="17">
        <v>386095200</v>
      </c>
      <c r="M384" s="17">
        <v>386095200</v>
      </c>
      <c r="N384" s="18">
        <f>60761568+64869174+64520415+66160874+65825032</f>
        <v>322137063</v>
      </c>
      <c r="O384" s="22" t="s">
        <v>1147</v>
      </c>
      <c r="Q384" s="13">
        <v>3906</v>
      </c>
      <c r="R384" s="13" t="s">
        <v>374</v>
      </c>
      <c r="S384" s="13" t="s">
        <v>391</v>
      </c>
      <c r="T384" s="13" t="s">
        <v>16</v>
      </c>
      <c r="U384" s="17">
        <f t="shared" ref="U384:U417" si="14">+M384-N384</f>
        <v>63958137</v>
      </c>
    </row>
    <row r="385" spans="1:21" x14ac:dyDescent="0.3">
      <c r="A385" s="13">
        <v>92</v>
      </c>
      <c r="B385" s="13" t="str">
        <f>+VLOOKUP(A385,'[1]PA 2023'!$A$8:$E$84,5)</f>
        <v>Mantener a 1.656 personas mayores vulnerables con atencion integral en instituciones especializadas a través de las modalidades centros vida y centros de bienestar en el marco de la Ley 1276 de 2009.</v>
      </c>
      <c r="C385" s="14">
        <v>2020680010040</v>
      </c>
      <c r="D385" s="14" t="str">
        <f>+VLOOKUP(C385,'[1]PA 2023'!$G$8:$H$84,2,FALSE)</f>
        <v>IMPLEMENTACIÓN DE ACCIONES TENDIENTES A MEJORAR LAS CONDICIONES DE LOS ADULTOS MAYORES DEL MUNICIPIO DE BUCARAMANGA</v>
      </c>
      <c r="E385" s="13" t="s">
        <v>1122</v>
      </c>
      <c r="F385" s="15">
        <v>49</v>
      </c>
      <c r="G385" s="22" t="s">
        <v>184</v>
      </c>
      <c r="H385" s="21" t="s">
        <v>185</v>
      </c>
      <c r="I385" s="13" t="s">
        <v>389</v>
      </c>
      <c r="J385" s="13" t="s">
        <v>1126</v>
      </c>
      <c r="K385" s="16">
        <v>45016</v>
      </c>
      <c r="L385" s="17">
        <v>202920000</v>
      </c>
      <c r="M385" s="17">
        <v>202920000</v>
      </c>
      <c r="N385" s="18">
        <v>0</v>
      </c>
      <c r="O385" s="22" t="s">
        <v>1147</v>
      </c>
      <c r="Q385" s="13">
        <v>3907</v>
      </c>
      <c r="R385" s="13" t="s">
        <v>1127</v>
      </c>
      <c r="S385" s="13" t="s">
        <v>391</v>
      </c>
      <c r="T385" s="13" t="s">
        <v>16</v>
      </c>
      <c r="U385" s="17">
        <f t="shared" si="14"/>
        <v>202920000</v>
      </c>
    </row>
    <row r="386" spans="1:21" x14ac:dyDescent="0.3">
      <c r="A386" s="13">
        <v>92</v>
      </c>
      <c r="B386" s="13" t="str">
        <f>+VLOOKUP(A386,'[1]PA 2023'!$A$8:$E$84,5)</f>
        <v>Mantener a 1.656 personas mayores vulnerables con atencion integral en instituciones especializadas a través de las modalidades centros vida y centros de bienestar en el marco de la Ley 1276 de 2009.</v>
      </c>
      <c r="C386" s="14">
        <v>2020680010040</v>
      </c>
      <c r="D386" s="14" t="str">
        <f>+VLOOKUP(C386,'[1]PA 2023'!$G$8:$H$84,2,FALSE)</f>
        <v>IMPLEMENTACIÓN DE ACCIONES TENDIENTES A MEJORAR LAS CONDICIONES DE LOS ADULTOS MAYORES DEL MUNICIPIO DE BUCARAMANGA</v>
      </c>
      <c r="E386" s="13" t="s">
        <v>1122</v>
      </c>
      <c r="F386" s="15">
        <v>49</v>
      </c>
      <c r="G386" s="22" t="s">
        <v>184</v>
      </c>
      <c r="H386" s="21" t="s">
        <v>185</v>
      </c>
      <c r="I386" s="13" t="s">
        <v>389</v>
      </c>
      <c r="J386" s="13" t="s">
        <v>384</v>
      </c>
      <c r="K386" s="16">
        <v>45016</v>
      </c>
      <c r="L386" s="17">
        <v>142986904</v>
      </c>
      <c r="M386" s="17">
        <v>142986904</v>
      </c>
      <c r="N386" s="18">
        <f>75286720+9497780</f>
        <v>84784500</v>
      </c>
      <c r="O386" s="22" t="s">
        <v>1147</v>
      </c>
      <c r="Q386" s="13">
        <v>3908</v>
      </c>
      <c r="R386" s="13" t="s">
        <v>386</v>
      </c>
      <c r="S386" s="13" t="s">
        <v>391</v>
      </c>
      <c r="T386" s="13" t="s">
        <v>16</v>
      </c>
      <c r="U386" s="17">
        <f t="shared" si="14"/>
        <v>58202404</v>
      </c>
    </row>
    <row r="387" spans="1:21" x14ac:dyDescent="0.3">
      <c r="A387" s="13">
        <v>92</v>
      </c>
      <c r="B387" s="13" t="str">
        <f>+VLOOKUP(A387,'[1]PA 2023'!$A$8:$E$84,5)</f>
        <v>Mantener a 1.656 personas mayores vulnerables con atencion integral en instituciones especializadas a través de las modalidades centros vida y centros de bienestar en el marco de la Ley 1276 de 2009.</v>
      </c>
      <c r="C387" s="14">
        <v>2020680010040</v>
      </c>
      <c r="D387" s="14" t="str">
        <f>+VLOOKUP(C387,'[1]PA 2023'!$G$8:$H$84,2,FALSE)</f>
        <v>IMPLEMENTACIÓN DE ACCIONES TENDIENTES A MEJORAR LAS CONDICIONES DE LOS ADULTOS MAYORES DEL MUNICIPIO DE BUCARAMANGA</v>
      </c>
      <c r="E387" s="13" t="s">
        <v>1122</v>
      </c>
      <c r="F387" s="15">
        <v>49</v>
      </c>
      <c r="G387" s="22" t="s">
        <v>184</v>
      </c>
      <c r="H387" s="21" t="s">
        <v>185</v>
      </c>
      <c r="I387" s="13" t="s">
        <v>389</v>
      </c>
      <c r="J387" s="13" t="s">
        <v>1148</v>
      </c>
      <c r="K387" s="16">
        <v>45016</v>
      </c>
      <c r="L387" s="17">
        <v>144960000</v>
      </c>
      <c r="M387" s="17">
        <v>144960000</v>
      </c>
      <c r="N387" s="18">
        <f>77844700+67115300</f>
        <v>144960000</v>
      </c>
      <c r="O387" s="22" t="s">
        <v>1147</v>
      </c>
      <c r="Q387" s="13">
        <v>3909</v>
      </c>
      <c r="R387" s="13" t="s">
        <v>1149</v>
      </c>
      <c r="S387" s="13" t="s">
        <v>391</v>
      </c>
      <c r="T387" s="13" t="s">
        <v>16</v>
      </c>
      <c r="U387" s="17">
        <f t="shared" si="14"/>
        <v>0</v>
      </c>
    </row>
    <row r="388" spans="1:21" x14ac:dyDescent="0.3">
      <c r="A388" s="13">
        <v>92</v>
      </c>
      <c r="B388" s="13" t="str">
        <f>+VLOOKUP(A388,'[1]PA 2023'!$A$8:$E$84,5)</f>
        <v>Mantener a 1.656 personas mayores vulnerables con atencion integral en instituciones especializadas a través de las modalidades centros vida y centros de bienestar en el marco de la Ley 1276 de 2009.</v>
      </c>
      <c r="C388" s="14">
        <v>2020680010040</v>
      </c>
      <c r="D388" s="14" t="str">
        <f>+VLOOKUP(C388,'[1]PA 2023'!$G$8:$H$84,2,FALSE)</f>
        <v>IMPLEMENTACIÓN DE ACCIONES TENDIENTES A MEJORAR LAS CONDICIONES DE LOS ADULTOS MAYORES DEL MUNICIPIO DE BUCARAMANGA</v>
      </c>
      <c r="E388" s="13" t="s">
        <v>1122</v>
      </c>
      <c r="F388" s="15">
        <v>49</v>
      </c>
      <c r="G388" s="22" t="s">
        <v>184</v>
      </c>
      <c r="H388" s="21" t="s">
        <v>185</v>
      </c>
      <c r="I388" s="13" t="s">
        <v>389</v>
      </c>
      <c r="J388" s="13" t="s">
        <v>1123</v>
      </c>
      <c r="K388" s="16">
        <v>45016</v>
      </c>
      <c r="L388" s="17">
        <v>101276596</v>
      </c>
      <c r="M388" s="17">
        <v>101276596</v>
      </c>
      <c r="N388" s="18">
        <v>79897400</v>
      </c>
      <c r="O388" s="22" t="s">
        <v>1147</v>
      </c>
      <c r="Q388" s="13">
        <v>3910</v>
      </c>
      <c r="R388" s="13" t="s">
        <v>1125</v>
      </c>
      <c r="S388" s="13" t="s">
        <v>391</v>
      </c>
      <c r="T388" s="13" t="s">
        <v>16</v>
      </c>
      <c r="U388" s="17">
        <f t="shared" si="14"/>
        <v>21379196</v>
      </c>
    </row>
    <row r="389" spans="1:21" x14ac:dyDescent="0.3">
      <c r="A389" s="13">
        <v>92</v>
      </c>
      <c r="B389" s="13" t="str">
        <f>+VLOOKUP(A389,'[1]PA 2023'!$A$8:$E$84,5)</f>
        <v>Mantener a 1.656 personas mayores vulnerables con atencion integral en instituciones especializadas a través de las modalidades centros vida y centros de bienestar en el marco de la Ley 1276 de 2009.</v>
      </c>
      <c r="C389" s="14">
        <v>2020680010040</v>
      </c>
      <c r="D389" s="14" t="str">
        <f>+VLOOKUP(C389,'[1]PA 2023'!$G$8:$H$84,2,FALSE)</f>
        <v>IMPLEMENTACIÓN DE ACCIONES TENDIENTES A MEJORAR LAS CONDICIONES DE LOS ADULTOS MAYORES DEL MUNICIPIO DE BUCARAMANGA</v>
      </c>
      <c r="E389" s="13" t="s">
        <v>1122</v>
      </c>
      <c r="F389" s="15">
        <v>50</v>
      </c>
      <c r="G389" s="22" t="s">
        <v>184</v>
      </c>
      <c r="H389" s="21" t="s">
        <v>185</v>
      </c>
      <c r="I389" s="13" t="s">
        <v>383</v>
      </c>
      <c r="J389" s="13" t="s">
        <v>1123</v>
      </c>
      <c r="K389" s="16">
        <v>45016</v>
      </c>
      <c r="L389" s="17">
        <v>44680851</v>
      </c>
      <c r="M389" s="17">
        <v>44680851</v>
      </c>
      <c r="N389" s="18">
        <v>35527500</v>
      </c>
      <c r="O389" s="22" t="s">
        <v>1136</v>
      </c>
      <c r="Q389" s="13">
        <v>3911</v>
      </c>
      <c r="R389" s="13" t="s">
        <v>1125</v>
      </c>
      <c r="S389" s="13" t="s">
        <v>387</v>
      </c>
      <c r="T389" s="13" t="s">
        <v>16</v>
      </c>
      <c r="U389" s="17">
        <f t="shared" si="14"/>
        <v>9153351</v>
      </c>
    </row>
    <row r="390" spans="1:21" x14ac:dyDescent="0.3">
      <c r="A390" s="13">
        <v>107</v>
      </c>
      <c r="B390" s="13" t="str">
        <f>+VLOOKUP(A390,'[1]PA 2023'!$A$8:$E$84,5)</f>
        <v>Formular e implementar 1 política pública para la población con orientación sexual e identidad de género diversa.</v>
      </c>
      <c r="C390" s="14">
        <v>2020680010106</v>
      </c>
      <c r="D390" s="14" t="str">
        <f>+VLOOKUP(C390,'[1]PA 2023'!$G$8:$H$84,2,FALSE)</f>
        <v>FORTALECIMIENTO DE ESPACIOS DE PARTICIPACIÓN Y PREVENCIÓN DE VIOLENCIAS EN MUJERES Y POBLACIÓN CON ORIENTACIONES SEXUALES E IDENTIDADES DE GÉNERO DIVERSAS DEL MUNICIPIO DE BUCARAMANGA</v>
      </c>
      <c r="E390" s="13" t="s">
        <v>1150</v>
      </c>
      <c r="F390" s="15">
        <v>1831</v>
      </c>
      <c r="G390" s="21" t="s">
        <v>43</v>
      </c>
      <c r="H390" s="21" t="s">
        <v>36</v>
      </c>
      <c r="I390" s="13" t="s">
        <v>1151</v>
      </c>
      <c r="J390" s="13" t="s">
        <v>378</v>
      </c>
      <c r="K390" s="16">
        <v>45016</v>
      </c>
      <c r="L390" s="17">
        <v>6000000</v>
      </c>
      <c r="M390" s="17">
        <v>6000000</v>
      </c>
      <c r="N390" s="18">
        <f>3000000+3000000</f>
        <v>6000000</v>
      </c>
      <c r="O390" s="22" t="s">
        <v>1152</v>
      </c>
      <c r="Q390" s="13">
        <v>3916</v>
      </c>
      <c r="R390" s="13" t="s">
        <v>380</v>
      </c>
      <c r="S390" s="13" t="s">
        <v>1153</v>
      </c>
      <c r="T390" s="13" t="s">
        <v>16</v>
      </c>
      <c r="U390" s="17">
        <f t="shared" si="14"/>
        <v>0</v>
      </c>
    </row>
    <row r="391" spans="1:21" x14ac:dyDescent="0.3">
      <c r="A391" s="13">
        <v>92</v>
      </c>
      <c r="B391" s="13" t="str">
        <f>+VLOOKUP(A391,'[1]PA 2023'!$A$8:$E$84,5)</f>
        <v>Mantener a 1.656 personas mayores vulnerables con atencion integral en instituciones especializadas a través de las modalidades centros vida y centros de bienestar en el marco de la Ley 1276 de 2009.</v>
      </c>
      <c r="C391" s="14">
        <v>2020680010040</v>
      </c>
      <c r="D391" s="14" t="str">
        <f>+VLOOKUP(C391,'[1]PA 2023'!$G$8:$H$84,2,FALSE)</f>
        <v>IMPLEMENTACIÓN DE ACCIONES TENDIENTES A MEJORAR LAS CONDICIONES DE LOS ADULTOS MAYORES DEL MUNICIPIO DE BUCARAMANGA</v>
      </c>
      <c r="E391" s="13" t="s">
        <v>1122</v>
      </c>
      <c r="F391" s="15">
        <v>51</v>
      </c>
      <c r="G391" s="22" t="s">
        <v>184</v>
      </c>
      <c r="H391" s="21" t="s">
        <v>185</v>
      </c>
      <c r="I391" s="13" t="s">
        <v>179</v>
      </c>
      <c r="J391" s="13" t="s">
        <v>384</v>
      </c>
      <c r="K391" s="16">
        <v>45016</v>
      </c>
      <c r="L391" s="17">
        <v>83773340</v>
      </c>
      <c r="M391" s="17">
        <v>83773340</v>
      </c>
      <c r="N391" s="18">
        <f>21442820+21348080+22279690</f>
        <v>65070590</v>
      </c>
      <c r="O391" s="22" t="s">
        <v>1154</v>
      </c>
      <c r="Q391" s="13">
        <v>3917</v>
      </c>
      <c r="R391" s="13" t="s">
        <v>386</v>
      </c>
      <c r="S391" s="13" t="s">
        <v>182</v>
      </c>
      <c r="T391" s="13" t="s">
        <v>16</v>
      </c>
      <c r="U391" s="17">
        <f t="shared" si="14"/>
        <v>18702750</v>
      </c>
    </row>
    <row r="392" spans="1:21" x14ac:dyDescent="0.3">
      <c r="A392" s="13">
        <v>92</v>
      </c>
      <c r="B392" s="13" t="str">
        <f>+VLOOKUP(A392,'[1]PA 2023'!$A$8:$E$84,5)</f>
        <v>Mantener a 1.656 personas mayores vulnerables con atencion integral en instituciones especializadas a través de las modalidades centros vida y centros de bienestar en el marco de la Ley 1276 de 2009.</v>
      </c>
      <c r="C392" s="14">
        <v>2020680010040</v>
      </c>
      <c r="D392" s="14" t="str">
        <f>+VLOOKUP(C392,'[1]PA 2023'!$G$8:$H$84,2,FALSE)</f>
        <v>IMPLEMENTACIÓN DE ACCIONES TENDIENTES A MEJORAR LAS CONDICIONES DE LOS ADULTOS MAYORES DEL MUNICIPIO DE BUCARAMANGA</v>
      </c>
      <c r="E392" s="13" t="s">
        <v>1122</v>
      </c>
      <c r="F392" s="15">
        <v>51</v>
      </c>
      <c r="G392" s="22" t="s">
        <v>184</v>
      </c>
      <c r="H392" s="21" t="s">
        <v>185</v>
      </c>
      <c r="I392" s="13" t="s">
        <v>179</v>
      </c>
      <c r="J392" s="13" t="s">
        <v>1123</v>
      </c>
      <c r="K392" s="16">
        <v>45016</v>
      </c>
      <c r="L392" s="17">
        <v>29188320</v>
      </c>
      <c r="M392" s="17">
        <v>29188320</v>
      </c>
      <c r="N392" s="18">
        <v>21095440</v>
      </c>
      <c r="O392" s="22" t="s">
        <v>1154</v>
      </c>
      <c r="Q392" s="13">
        <v>3918</v>
      </c>
      <c r="R392" s="13" t="s">
        <v>1125</v>
      </c>
      <c r="S392" s="13" t="s">
        <v>182</v>
      </c>
      <c r="T392" s="13" t="s">
        <v>16</v>
      </c>
      <c r="U392" s="17">
        <f t="shared" si="14"/>
        <v>8092880</v>
      </c>
    </row>
    <row r="393" spans="1:21" x14ac:dyDescent="0.3">
      <c r="A393" s="13">
        <v>92</v>
      </c>
      <c r="B393" s="13" t="str">
        <f>+VLOOKUP(A393,'[1]PA 2023'!$A$8:$E$84,5)</f>
        <v>Mantener a 1.656 personas mayores vulnerables con atencion integral en instituciones especializadas a través de las modalidades centros vida y centros de bienestar en el marco de la Ley 1276 de 2009.</v>
      </c>
      <c r="C393" s="14">
        <v>2020680010040</v>
      </c>
      <c r="D393" s="14" t="str">
        <f>+VLOOKUP(C393,'[1]PA 2023'!$G$8:$H$84,2,FALSE)</f>
        <v>IMPLEMENTACIÓN DE ACCIONES TENDIENTES A MEJORAR LAS CONDICIONES DE LOS ADULTOS MAYORES DEL MUNICIPIO DE BUCARAMANGA</v>
      </c>
      <c r="E393" s="13" t="s">
        <v>1122</v>
      </c>
      <c r="F393" s="15">
        <v>52</v>
      </c>
      <c r="G393" s="22" t="s">
        <v>184</v>
      </c>
      <c r="H393" s="21" t="s">
        <v>185</v>
      </c>
      <c r="I393" s="13" t="s">
        <v>413</v>
      </c>
      <c r="J393" s="13" t="s">
        <v>372</v>
      </c>
      <c r="K393" s="16">
        <v>45016</v>
      </c>
      <c r="L393" s="17">
        <v>184706204</v>
      </c>
      <c r="M393" s="17">
        <v>184706204</v>
      </c>
      <c r="N393" s="18">
        <f>39112676+37911395+39745609+39138510+28798014</f>
        <v>184706204</v>
      </c>
      <c r="O393" s="22" t="s">
        <v>1155</v>
      </c>
      <c r="Q393" s="13">
        <v>3919</v>
      </c>
      <c r="R393" s="13" t="s">
        <v>374</v>
      </c>
      <c r="S393" s="13" t="s">
        <v>415</v>
      </c>
      <c r="T393" s="13" t="s">
        <v>16</v>
      </c>
      <c r="U393" s="17">
        <f t="shared" si="14"/>
        <v>0</v>
      </c>
    </row>
    <row r="394" spans="1:21" x14ac:dyDescent="0.3">
      <c r="A394" s="13">
        <v>92</v>
      </c>
      <c r="B394" s="13" t="str">
        <f>+VLOOKUP(A394,'[1]PA 2023'!$A$8:$E$84,5)</f>
        <v>Mantener a 1.656 personas mayores vulnerables con atencion integral en instituciones especializadas a través de las modalidades centros vida y centros de bienestar en el marco de la Ley 1276 de 2009.</v>
      </c>
      <c r="C394" s="14">
        <v>2020680010040</v>
      </c>
      <c r="D394" s="14" t="str">
        <f>+VLOOKUP(C394,'[1]PA 2023'!$G$8:$H$84,2,FALSE)</f>
        <v>IMPLEMENTACIÓN DE ACCIONES TENDIENTES A MEJORAR LAS CONDICIONES DE LOS ADULTOS MAYORES DEL MUNICIPIO DE BUCARAMANGA</v>
      </c>
      <c r="E394" s="13" t="s">
        <v>1122</v>
      </c>
      <c r="F394" s="15">
        <v>52</v>
      </c>
      <c r="G394" s="22" t="s">
        <v>184</v>
      </c>
      <c r="H394" s="21" t="s">
        <v>185</v>
      </c>
      <c r="I394" s="13" t="s">
        <v>413</v>
      </c>
      <c r="J394" s="13" t="s">
        <v>1126</v>
      </c>
      <c r="K394" s="16">
        <v>45016</v>
      </c>
      <c r="L394" s="17">
        <v>139249156</v>
      </c>
      <c r="M394" s="17">
        <v>139249156</v>
      </c>
      <c r="N394" s="18">
        <v>0</v>
      </c>
      <c r="O394" s="22" t="s">
        <v>1155</v>
      </c>
      <c r="Q394" s="13">
        <v>3920</v>
      </c>
      <c r="R394" s="13" t="s">
        <v>1127</v>
      </c>
      <c r="S394" s="13" t="s">
        <v>415</v>
      </c>
      <c r="T394" s="13" t="s">
        <v>16</v>
      </c>
      <c r="U394" s="17">
        <f t="shared" si="14"/>
        <v>139249156</v>
      </c>
    </row>
    <row r="395" spans="1:21" x14ac:dyDescent="0.3">
      <c r="A395" s="13">
        <v>92</v>
      </c>
      <c r="B395" s="13" t="str">
        <f>+VLOOKUP(A395,'[1]PA 2023'!$A$8:$E$84,5)</f>
        <v>Mantener a 1.656 personas mayores vulnerables con atencion integral en instituciones especializadas a través de las modalidades centros vida y centros de bienestar en el marco de la Ley 1276 de 2009.</v>
      </c>
      <c r="C395" s="14">
        <v>2020680010040</v>
      </c>
      <c r="D395" s="14" t="str">
        <f>+VLOOKUP(C395,'[1]PA 2023'!$G$8:$H$84,2,FALSE)</f>
        <v>IMPLEMENTACIÓN DE ACCIONES TENDIENTES A MEJORAR LAS CONDICIONES DE LOS ADULTOS MAYORES DEL MUNICIPIO DE BUCARAMANGA</v>
      </c>
      <c r="E395" s="13" t="s">
        <v>1122</v>
      </c>
      <c r="F395" s="15">
        <v>52</v>
      </c>
      <c r="G395" s="22" t="s">
        <v>184</v>
      </c>
      <c r="H395" s="21" t="s">
        <v>185</v>
      </c>
      <c r="I395" s="13" t="s">
        <v>413</v>
      </c>
      <c r="J395" s="13" t="s">
        <v>384</v>
      </c>
      <c r="K395" s="16">
        <v>45016</v>
      </c>
      <c r="L395" s="17">
        <v>186318585</v>
      </c>
      <c r="M395" s="17">
        <v>186318585</v>
      </c>
      <c r="N395" s="18">
        <f>52407010+51870150+52912290+29129135</f>
        <v>186318585</v>
      </c>
      <c r="O395" s="22" t="s">
        <v>1155</v>
      </c>
      <c r="Q395" s="13">
        <v>3921</v>
      </c>
      <c r="R395" s="13" t="s">
        <v>386</v>
      </c>
      <c r="S395" s="13" t="s">
        <v>415</v>
      </c>
      <c r="T395" s="13" t="s">
        <v>16</v>
      </c>
      <c r="U395" s="17">
        <f t="shared" si="14"/>
        <v>0</v>
      </c>
    </row>
    <row r="396" spans="1:21" x14ac:dyDescent="0.3">
      <c r="A396" s="13">
        <v>92</v>
      </c>
      <c r="B396" s="13" t="str">
        <f>+VLOOKUP(A396,'[1]PA 2023'!$A$8:$E$84,5)</f>
        <v>Mantener a 1.656 personas mayores vulnerables con atencion integral en instituciones especializadas a través de las modalidades centros vida y centros de bienestar en el marco de la Ley 1276 de 2009.</v>
      </c>
      <c r="C396" s="14">
        <v>2020680010040</v>
      </c>
      <c r="D396" s="14" t="str">
        <f>+VLOOKUP(C396,'[1]PA 2023'!$G$8:$H$84,2,FALSE)</f>
        <v>IMPLEMENTACIÓN DE ACCIONES TENDIENTES A MEJORAR LAS CONDICIONES DE LOS ADULTOS MAYORES DEL MUNICIPIO DE BUCARAMANGA</v>
      </c>
      <c r="E396" s="13" t="s">
        <v>1122</v>
      </c>
      <c r="F396" s="15">
        <v>52</v>
      </c>
      <c r="G396" s="22" t="s">
        <v>184</v>
      </c>
      <c r="H396" s="21" t="s">
        <v>185</v>
      </c>
      <c r="I396" s="13" t="s">
        <v>413</v>
      </c>
      <c r="J396" s="13" t="s">
        <v>1123</v>
      </c>
      <c r="K396" s="16">
        <v>45016</v>
      </c>
      <c r="L396" s="17">
        <v>65531915</v>
      </c>
      <c r="M396" s="17">
        <v>65531915</v>
      </c>
      <c r="N396" s="18">
        <v>51554350</v>
      </c>
      <c r="O396" s="22" t="s">
        <v>1155</v>
      </c>
      <c r="Q396" s="13">
        <v>3922</v>
      </c>
      <c r="R396" s="13" t="s">
        <v>1125</v>
      </c>
      <c r="S396" s="13" t="s">
        <v>415</v>
      </c>
      <c r="T396" s="13" t="s">
        <v>16</v>
      </c>
      <c r="U396" s="17">
        <f t="shared" si="14"/>
        <v>13977565</v>
      </c>
    </row>
    <row r="397" spans="1:21" x14ac:dyDescent="0.3">
      <c r="A397" s="13">
        <v>92</v>
      </c>
      <c r="B397" s="13" t="str">
        <f>+VLOOKUP(A397,'[1]PA 2023'!$A$8:$E$84,5)</f>
        <v>Mantener a 1.656 personas mayores vulnerables con atencion integral en instituciones especializadas a través de las modalidades centros vida y centros de bienestar en el marco de la Ley 1276 de 2009.</v>
      </c>
      <c r="C397" s="14">
        <v>2020680010040</v>
      </c>
      <c r="D397" s="14" t="str">
        <f>+VLOOKUP(C397,'[1]PA 2023'!$G$8:$H$84,2,FALSE)</f>
        <v>IMPLEMENTACIÓN DE ACCIONES TENDIENTES A MEJORAR LAS CONDICIONES DE LOS ADULTOS MAYORES DEL MUNICIPIO DE BUCARAMANGA</v>
      </c>
      <c r="E397" s="13" t="s">
        <v>1122</v>
      </c>
      <c r="F397" s="15">
        <v>55</v>
      </c>
      <c r="G397" s="22" t="s">
        <v>184</v>
      </c>
      <c r="H397" s="21" t="s">
        <v>185</v>
      </c>
      <c r="I397" s="13" t="s">
        <v>429</v>
      </c>
      <c r="J397" s="13" t="s">
        <v>372</v>
      </c>
      <c r="K397" s="16">
        <v>45016</v>
      </c>
      <c r="L397" s="17">
        <v>57914280</v>
      </c>
      <c r="M397" s="17">
        <v>57914280</v>
      </c>
      <c r="N397" s="18">
        <f>12012810+11625300+11625300+12012810</f>
        <v>47276220</v>
      </c>
      <c r="O397" s="22" t="s">
        <v>1156</v>
      </c>
      <c r="Q397" s="13">
        <v>3924</v>
      </c>
      <c r="R397" s="13" t="s">
        <v>374</v>
      </c>
      <c r="S397" s="13" t="s">
        <v>431</v>
      </c>
      <c r="T397" s="13" t="s">
        <v>16</v>
      </c>
      <c r="U397" s="17">
        <f t="shared" si="14"/>
        <v>10638060</v>
      </c>
    </row>
    <row r="398" spans="1:21" x14ac:dyDescent="0.3">
      <c r="A398" s="13">
        <v>92</v>
      </c>
      <c r="B398" s="13" t="str">
        <f>+VLOOKUP(A398,'[1]PA 2023'!$A$8:$E$84,5)</f>
        <v>Mantener a 1.656 personas mayores vulnerables con atencion integral en instituciones especializadas a través de las modalidades centros vida y centros de bienestar en el marco de la Ley 1276 de 2009.</v>
      </c>
      <c r="C398" s="14">
        <v>2020680010040</v>
      </c>
      <c r="D398" s="14" t="str">
        <f>+VLOOKUP(C398,'[1]PA 2023'!$G$8:$H$84,2,FALSE)</f>
        <v>IMPLEMENTACIÓN DE ACCIONES TENDIENTES A MEJORAR LAS CONDICIONES DE LOS ADULTOS MAYORES DEL MUNICIPIO DE BUCARAMANGA</v>
      </c>
      <c r="E398" s="13" t="s">
        <v>1122</v>
      </c>
      <c r="F398" s="15">
        <v>55</v>
      </c>
      <c r="G398" s="22" t="s">
        <v>184</v>
      </c>
      <c r="H398" s="21" t="s">
        <v>185</v>
      </c>
      <c r="I398" s="13" t="s">
        <v>429</v>
      </c>
      <c r="J398" s="13" t="s">
        <v>1126</v>
      </c>
      <c r="K398" s="16">
        <v>45016</v>
      </c>
      <c r="L398" s="17">
        <v>30438000</v>
      </c>
      <c r="M398" s="17">
        <v>30438000</v>
      </c>
      <c r="N398" s="18">
        <v>0</v>
      </c>
      <c r="O398" s="22" t="s">
        <v>1156</v>
      </c>
      <c r="Q398" s="13">
        <v>3925</v>
      </c>
      <c r="R398" s="13" t="s">
        <v>1127</v>
      </c>
      <c r="S398" s="13" t="s">
        <v>431</v>
      </c>
      <c r="T398" s="13" t="s">
        <v>16</v>
      </c>
      <c r="U398" s="17">
        <f t="shared" si="14"/>
        <v>30438000</v>
      </c>
    </row>
    <row r="399" spans="1:21" x14ac:dyDescent="0.3">
      <c r="A399" s="13">
        <v>92</v>
      </c>
      <c r="B399" s="13" t="str">
        <f>+VLOOKUP(A399,'[1]PA 2023'!$A$8:$E$84,5)</f>
        <v>Mantener a 1.656 personas mayores vulnerables con atencion integral en instituciones especializadas a través de las modalidades centros vida y centros de bienestar en el marco de la Ley 1276 de 2009.</v>
      </c>
      <c r="C399" s="14">
        <v>2020680010040</v>
      </c>
      <c r="D399" s="14" t="str">
        <f>+VLOOKUP(C399,'[1]PA 2023'!$G$8:$H$84,2,FALSE)</f>
        <v>IMPLEMENTACIÓN DE ACCIONES TENDIENTES A MEJORAR LAS CONDICIONES DE LOS ADULTOS MAYORES DEL MUNICIPIO DE BUCARAMANGA</v>
      </c>
      <c r="E399" s="13" t="s">
        <v>1122</v>
      </c>
      <c r="F399" s="15">
        <v>55</v>
      </c>
      <c r="G399" s="22" t="s">
        <v>184</v>
      </c>
      <c r="H399" s="21" t="s">
        <v>185</v>
      </c>
      <c r="I399" s="13" t="s">
        <v>429</v>
      </c>
      <c r="J399" s="13" t="s">
        <v>384</v>
      </c>
      <c r="K399" s="16">
        <v>45016</v>
      </c>
      <c r="L399" s="17">
        <v>50814160</v>
      </c>
      <c r="M399" s="17">
        <v>50814160</v>
      </c>
      <c r="N399" s="18">
        <f>10231920+10737200+11037210+11431960</f>
        <v>43438290</v>
      </c>
      <c r="O399" s="22" t="s">
        <v>1156</v>
      </c>
      <c r="Q399" s="13">
        <v>3926</v>
      </c>
      <c r="R399" s="13" t="s">
        <v>386</v>
      </c>
      <c r="S399" s="13" t="s">
        <v>431</v>
      </c>
      <c r="T399" s="13" t="s">
        <v>16</v>
      </c>
      <c r="U399" s="17">
        <f t="shared" si="14"/>
        <v>7375870</v>
      </c>
    </row>
    <row r="400" spans="1:21" x14ac:dyDescent="0.3">
      <c r="A400" s="13">
        <v>92</v>
      </c>
      <c r="B400" s="13" t="str">
        <f>+VLOOKUP(A400,'[1]PA 2023'!$A$8:$E$84,5)</f>
        <v>Mantener a 1.656 personas mayores vulnerables con atencion integral en instituciones especializadas a través de las modalidades centros vida y centros de bienestar en el marco de la Ley 1276 de 2009.</v>
      </c>
      <c r="C400" s="14">
        <v>2020680010040</v>
      </c>
      <c r="D400" s="14" t="str">
        <f>+VLOOKUP(C400,'[1]PA 2023'!$G$8:$H$84,2,FALSE)</f>
        <v>IMPLEMENTACIÓN DE ACCIONES TENDIENTES A MEJORAR LAS CONDICIONES DE LOS ADULTOS MAYORES DEL MUNICIPIO DE BUCARAMANGA</v>
      </c>
      <c r="E400" s="13" t="s">
        <v>1122</v>
      </c>
      <c r="F400" s="15">
        <v>55</v>
      </c>
      <c r="G400" s="22" t="s">
        <v>184</v>
      </c>
      <c r="H400" s="21" t="s">
        <v>185</v>
      </c>
      <c r="I400" s="13" t="s">
        <v>429</v>
      </c>
      <c r="J400" s="13" t="s">
        <v>1123</v>
      </c>
      <c r="K400" s="16">
        <v>45016</v>
      </c>
      <c r="L400" s="17">
        <v>17872340</v>
      </c>
      <c r="M400" s="17">
        <v>17872340</v>
      </c>
      <c r="N400" s="18">
        <v>0</v>
      </c>
      <c r="O400" s="22" t="s">
        <v>1156</v>
      </c>
      <c r="Q400" s="13">
        <v>3927</v>
      </c>
      <c r="R400" s="13" t="s">
        <v>1125</v>
      </c>
      <c r="S400" s="13" t="s">
        <v>431</v>
      </c>
      <c r="T400" s="13" t="s">
        <v>16</v>
      </c>
      <c r="U400" s="17">
        <f t="shared" si="14"/>
        <v>17872340</v>
      </c>
    </row>
    <row r="401" spans="1:21" x14ac:dyDescent="0.3">
      <c r="A401" s="13">
        <v>92</v>
      </c>
      <c r="B401" s="13" t="str">
        <f>+VLOOKUP(A401,'[1]PA 2023'!$A$8:$E$84,5)</f>
        <v>Mantener a 1.656 personas mayores vulnerables con atencion integral en instituciones especializadas a través de las modalidades centros vida y centros de bienestar en el marco de la Ley 1276 de 2009.</v>
      </c>
      <c r="C401" s="14">
        <v>2020680010040</v>
      </c>
      <c r="D401" s="14" t="str">
        <f>+VLOOKUP(C401,'[1]PA 2023'!$G$8:$H$84,2,FALSE)</f>
        <v>IMPLEMENTACIÓN DE ACCIONES TENDIENTES A MEJORAR LAS CONDICIONES DE LOS ADULTOS MAYORES DEL MUNICIPIO DE BUCARAMANGA</v>
      </c>
      <c r="E401" s="13" t="s">
        <v>1122</v>
      </c>
      <c r="F401" s="15">
        <v>58</v>
      </c>
      <c r="G401" s="22" t="s">
        <v>184</v>
      </c>
      <c r="H401" s="21" t="s">
        <v>185</v>
      </c>
      <c r="I401" s="13" t="s">
        <v>435</v>
      </c>
      <c r="J401" s="13" t="s">
        <v>372</v>
      </c>
      <c r="K401" s="16">
        <v>45016</v>
      </c>
      <c r="L401" s="17">
        <v>204630456</v>
      </c>
      <c r="M401" s="17">
        <v>204630456</v>
      </c>
      <c r="N401" s="18">
        <f>41076060+42264424+41076060+42445262</f>
        <v>166861806</v>
      </c>
      <c r="O401" s="22" t="s">
        <v>1157</v>
      </c>
      <c r="Q401" s="13">
        <v>3928</v>
      </c>
      <c r="R401" s="13" t="s">
        <v>374</v>
      </c>
      <c r="S401" s="13" t="s">
        <v>437</v>
      </c>
      <c r="T401" s="13" t="s">
        <v>16</v>
      </c>
      <c r="U401" s="17">
        <f t="shared" si="14"/>
        <v>37768650</v>
      </c>
    </row>
    <row r="402" spans="1:21" x14ac:dyDescent="0.3">
      <c r="A402" s="13">
        <v>92</v>
      </c>
      <c r="B402" s="13" t="str">
        <f>+VLOOKUP(A402,'[1]PA 2023'!$A$8:$E$84,5)</f>
        <v>Mantener a 1.656 personas mayores vulnerables con atencion integral en instituciones especializadas a través de las modalidades centros vida y centros de bienestar en el marco de la Ley 1276 de 2009.</v>
      </c>
      <c r="C402" s="14">
        <v>2020680010040</v>
      </c>
      <c r="D402" s="14" t="str">
        <f>+VLOOKUP(C402,'[1]PA 2023'!$G$8:$H$84,2,FALSE)</f>
        <v>IMPLEMENTACIÓN DE ACCIONES TENDIENTES A MEJORAR LAS CONDICIONES DE LOS ADULTOS MAYORES DEL MUNICIPIO DE BUCARAMANGA</v>
      </c>
      <c r="E402" s="13" t="s">
        <v>1122</v>
      </c>
      <c r="F402" s="15">
        <v>58</v>
      </c>
      <c r="G402" s="22" t="s">
        <v>184</v>
      </c>
      <c r="H402" s="21" t="s">
        <v>185</v>
      </c>
      <c r="I402" s="13" t="s">
        <v>435</v>
      </c>
      <c r="J402" s="13" t="s">
        <v>1126</v>
      </c>
      <c r="K402" s="16">
        <v>45016</v>
      </c>
      <c r="L402" s="17">
        <v>107547600</v>
      </c>
      <c r="M402" s="17">
        <v>107547600</v>
      </c>
      <c r="N402" s="18">
        <v>0</v>
      </c>
      <c r="O402" s="22" t="s">
        <v>1157</v>
      </c>
      <c r="Q402" s="13">
        <v>3929</v>
      </c>
      <c r="R402" s="13" t="s">
        <v>1127</v>
      </c>
      <c r="S402" s="13" t="s">
        <v>437</v>
      </c>
      <c r="T402" s="13" t="s">
        <v>16</v>
      </c>
      <c r="U402" s="17">
        <f t="shared" si="14"/>
        <v>107547600</v>
      </c>
    </row>
    <row r="403" spans="1:21" x14ac:dyDescent="0.3">
      <c r="A403" s="13">
        <v>92</v>
      </c>
      <c r="B403" s="13" t="str">
        <f>+VLOOKUP(A403,'[1]PA 2023'!$A$8:$E$84,5)</f>
        <v>Mantener a 1.656 personas mayores vulnerables con atencion integral en instituciones especializadas a través de las modalidades centros vida y centros de bienestar en el marco de la Ley 1276 de 2009.</v>
      </c>
      <c r="C403" s="14">
        <v>2020680010040</v>
      </c>
      <c r="D403" s="14" t="str">
        <f>+VLOOKUP(C403,'[1]PA 2023'!$G$8:$H$84,2,FALSE)</f>
        <v>IMPLEMENTACIÓN DE ACCIONES TENDIENTES A MEJORAR LAS CONDICIONES DE LOS ADULTOS MAYORES DEL MUNICIPIO DE BUCARAMANGA</v>
      </c>
      <c r="E403" s="13" t="s">
        <v>1122</v>
      </c>
      <c r="F403" s="15">
        <v>57</v>
      </c>
      <c r="G403" s="22" t="s">
        <v>184</v>
      </c>
      <c r="H403" s="21" t="s">
        <v>185</v>
      </c>
      <c r="I403" s="13" t="s">
        <v>425</v>
      </c>
      <c r="J403" s="13" t="s">
        <v>372</v>
      </c>
      <c r="K403" s="16">
        <v>45016</v>
      </c>
      <c r="L403" s="17">
        <v>96523800</v>
      </c>
      <c r="M403" s="17">
        <v>96523800</v>
      </c>
      <c r="N403" s="18">
        <f>19375500+20021350+19375500+20021350</f>
        <v>78793700</v>
      </c>
      <c r="O403" s="22" t="s">
        <v>1158</v>
      </c>
      <c r="Q403" s="13">
        <v>3930</v>
      </c>
      <c r="R403" s="13" t="s">
        <v>374</v>
      </c>
      <c r="S403" s="13" t="s">
        <v>427</v>
      </c>
      <c r="T403" s="13" t="s">
        <v>16</v>
      </c>
      <c r="U403" s="17">
        <f t="shared" si="14"/>
        <v>17730100</v>
      </c>
    </row>
    <row r="404" spans="1:21" x14ac:dyDescent="0.3">
      <c r="A404" s="13">
        <v>92</v>
      </c>
      <c r="B404" s="13" t="str">
        <f>+VLOOKUP(A404,'[1]PA 2023'!$A$8:$E$84,5)</f>
        <v>Mantener a 1.656 personas mayores vulnerables con atencion integral en instituciones especializadas a través de las modalidades centros vida y centros de bienestar en el marco de la Ley 1276 de 2009.</v>
      </c>
      <c r="C404" s="14">
        <v>2020680010040</v>
      </c>
      <c r="D404" s="14" t="str">
        <f>+VLOOKUP(C404,'[1]PA 2023'!$G$8:$H$84,2,FALSE)</f>
        <v>IMPLEMENTACIÓN DE ACCIONES TENDIENTES A MEJORAR LAS CONDICIONES DE LOS ADULTOS MAYORES DEL MUNICIPIO DE BUCARAMANGA</v>
      </c>
      <c r="E404" s="13" t="s">
        <v>1122</v>
      </c>
      <c r="F404" s="15">
        <v>57</v>
      </c>
      <c r="G404" s="22" t="s">
        <v>184</v>
      </c>
      <c r="H404" s="21" t="s">
        <v>185</v>
      </c>
      <c r="I404" s="13" t="s">
        <v>425</v>
      </c>
      <c r="J404" s="13" t="s">
        <v>1123</v>
      </c>
      <c r="K404" s="16">
        <v>45016</v>
      </c>
      <c r="L404" s="17">
        <v>17872340</v>
      </c>
      <c r="M404" s="17">
        <v>17872340</v>
      </c>
      <c r="N404" s="18">
        <v>14447850</v>
      </c>
      <c r="O404" s="22" t="s">
        <v>1158</v>
      </c>
      <c r="Q404" s="13">
        <v>3931</v>
      </c>
      <c r="R404" s="13" t="s">
        <v>1125</v>
      </c>
      <c r="S404" s="13" t="s">
        <v>427</v>
      </c>
      <c r="T404" s="13" t="s">
        <v>16</v>
      </c>
      <c r="U404" s="17">
        <f t="shared" si="14"/>
        <v>3424490</v>
      </c>
    </row>
    <row r="405" spans="1:21" x14ac:dyDescent="0.3">
      <c r="A405" s="13">
        <v>92</v>
      </c>
      <c r="B405" s="13" t="str">
        <f>+VLOOKUP(A405,'[1]PA 2023'!$A$8:$E$84,5)</f>
        <v>Mantener a 1.656 personas mayores vulnerables con atencion integral en instituciones especializadas a través de las modalidades centros vida y centros de bienestar en el marco de la Ley 1276 de 2009.</v>
      </c>
      <c r="C405" s="14">
        <v>2020680010040</v>
      </c>
      <c r="D405" s="14" t="str">
        <f>+VLOOKUP(C405,'[1]PA 2023'!$G$8:$H$84,2,FALSE)</f>
        <v>IMPLEMENTACIÓN DE ACCIONES TENDIENTES A MEJORAR LAS CONDICIONES DE LOS ADULTOS MAYORES DEL MUNICIPIO DE BUCARAMANGA</v>
      </c>
      <c r="E405" s="13" t="s">
        <v>1122</v>
      </c>
      <c r="F405" s="15">
        <v>57</v>
      </c>
      <c r="G405" s="22" t="s">
        <v>184</v>
      </c>
      <c r="H405" s="21" t="s">
        <v>185</v>
      </c>
      <c r="I405" s="13" t="s">
        <v>425</v>
      </c>
      <c r="J405" s="13" t="s">
        <v>1126</v>
      </c>
      <c r="K405" s="16">
        <v>45016</v>
      </c>
      <c r="L405" s="17">
        <v>50730000</v>
      </c>
      <c r="M405" s="17">
        <v>50730000</v>
      </c>
      <c r="N405" s="18">
        <v>0</v>
      </c>
      <c r="O405" s="22" t="s">
        <v>1158</v>
      </c>
      <c r="Q405" s="13">
        <v>3932</v>
      </c>
      <c r="R405" s="13" t="s">
        <v>1127</v>
      </c>
      <c r="S405" s="13" t="s">
        <v>427</v>
      </c>
      <c r="T405" s="13" t="s">
        <v>16</v>
      </c>
      <c r="U405" s="17">
        <f t="shared" si="14"/>
        <v>50730000</v>
      </c>
    </row>
    <row r="406" spans="1:21" x14ac:dyDescent="0.3">
      <c r="A406" s="13">
        <v>92</v>
      </c>
      <c r="B406" s="13" t="str">
        <f>+VLOOKUP(A406,'[1]PA 2023'!$A$8:$E$84,5)</f>
        <v>Mantener a 1.656 personas mayores vulnerables con atencion integral en instituciones especializadas a través de las modalidades centros vida y centros de bienestar en el marco de la Ley 1276 de 2009.</v>
      </c>
      <c r="C406" s="14">
        <v>2020680010040</v>
      </c>
      <c r="D406" s="14" t="str">
        <f>+VLOOKUP(C406,'[1]PA 2023'!$G$8:$H$84,2,FALSE)</f>
        <v>IMPLEMENTACIÓN DE ACCIONES TENDIENTES A MEJORAR LAS CONDICIONES DE LOS ADULTOS MAYORES DEL MUNICIPIO DE BUCARAMANGA</v>
      </c>
      <c r="E406" s="13" t="s">
        <v>1122</v>
      </c>
      <c r="F406" s="15">
        <v>54</v>
      </c>
      <c r="G406" s="22" t="s">
        <v>184</v>
      </c>
      <c r="H406" s="21" t="s">
        <v>185</v>
      </c>
      <c r="I406" s="13" t="s">
        <v>479</v>
      </c>
      <c r="J406" s="13" t="s">
        <v>372</v>
      </c>
      <c r="K406" s="16">
        <v>45016</v>
      </c>
      <c r="L406" s="17">
        <v>115828560</v>
      </c>
      <c r="M406" s="17">
        <v>115828560</v>
      </c>
      <c r="N406" s="18">
        <f>19595089+24245209+23160181+24025620+23444355</f>
        <v>114470454</v>
      </c>
      <c r="O406" s="22" t="s">
        <v>1159</v>
      </c>
      <c r="Q406" s="13">
        <v>3933</v>
      </c>
      <c r="R406" s="13" t="s">
        <v>374</v>
      </c>
      <c r="S406" s="13" t="s">
        <v>481</v>
      </c>
      <c r="T406" s="13" t="s">
        <v>16</v>
      </c>
      <c r="U406" s="17">
        <f t="shared" si="14"/>
        <v>1358106</v>
      </c>
    </row>
    <row r="407" spans="1:21" x14ac:dyDescent="0.3">
      <c r="A407" s="13">
        <v>92</v>
      </c>
      <c r="B407" s="13" t="str">
        <f>+VLOOKUP(A407,'[1]PA 2023'!$A$8:$E$84,5)</f>
        <v>Mantener a 1.656 personas mayores vulnerables con atencion integral en instituciones especializadas a través de las modalidades centros vida y centros de bienestar en el marco de la Ley 1276 de 2009.</v>
      </c>
      <c r="C407" s="14">
        <v>2020680010040</v>
      </c>
      <c r="D407" s="14" t="str">
        <f>+VLOOKUP(C407,'[1]PA 2023'!$G$8:$H$84,2,FALSE)</f>
        <v>IMPLEMENTACIÓN DE ACCIONES TENDIENTES A MEJORAR LAS CONDICIONES DE LOS ADULTOS MAYORES DEL MUNICIPIO DE BUCARAMANGA</v>
      </c>
      <c r="E407" s="13" t="s">
        <v>1122</v>
      </c>
      <c r="F407" s="15">
        <v>54</v>
      </c>
      <c r="G407" s="22" t="s">
        <v>184</v>
      </c>
      <c r="H407" s="21" t="s">
        <v>185</v>
      </c>
      <c r="I407" s="13" t="s">
        <v>479</v>
      </c>
      <c r="J407" s="13" t="s">
        <v>1126</v>
      </c>
      <c r="K407" s="16">
        <v>45016</v>
      </c>
      <c r="L407" s="17">
        <v>60876000</v>
      </c>
      <c r="M407" s="17">
        <v>60876000</v>
      </c>
      <c r="N407" s="18">
        <v>0</v>
      </c>
      <c r="O407" s="22" t="s">
        <v>1159</v>
      </c>
      <c r="Q407" s="13">
        <v>3934</v>
      </c>
      <c r="R407" s="13" t="s">
        <v>1127</v>
      </c>
      <c r="S407" s="13" t="s">
        <v>481</v>
      </c>
      <c r="T407" s="13" t="s">
        <v>16</v>
      </c>
      <c r="U407" s="17">
        <f t="shared" si="14"/>
        <v>60876000</v>
      </c>
    </row>
    <row r="408" spans="1:21" x14ac:dyDescent="0.3">
      <c r="A408" s="13">
        <v>92</v>
      </c>
      <c r="B408" s="13" t="str">
        <f>+VLOOKUP(A408,'[1]PA 2023'!$A$8:$E$84,5)</f>
        <v>Mantener a 1.656 personas mayores vulnerables con atencion integral en instituciones especializadas a través de las modalidades centros vida y centros de bienestar en el marco de la Ley 1276 de 2009.</v>
      </c>
      <c r="C408" s="14">
        <v>2020680010040</v>
      </c>
      <c r="D408" s="14" t="str">
        <f>+VLOOKUP(C408,'[1]PA 2023'!$G$8:$H$84,2,FALSE)</f>
        <v>IMPLEMENTACIÓN DE ACCIONES TENDIENTES A MEJORAR LAS CONDICIONES DE LOS ADULTOS MAYORES DEL MUNICIPIO DE BUCARAMANGA</v>
      </c>
      <c r="E408" s="13" t="s">
        <v>1122</v>
      </c>
      <c r="F408" s="15">
        <v>54</v>
      </c>
      <c r="G408" s="22" t="s">
        <v>184</v>
      </c>
      <c r="H408" s="21" t="s">
        <v>185</v>
      </c>
      <c r="I408" s="13" t="s">
        <v>479</v>
      </c>
      <c r="J408" s="13" t="s">
        <v>1160</v>
      </c>
      <c r="K408" s="16">
        <v>45016</v>
      </c>
      <c r="L408" s="17">
        <v>103278413</v>
      </c>
      <c r="M408" s="17">
        <v>103278413</v>
      </c>
      <c r="N408" s="18">
        <f>44954130+43059330</f>
        <v>88013460</v>
      </c>
      <c r="O408" s="22" t="s">
        <v>1159</v>
      </c>
      <c r="Q408" s="13">
        <v>3935</v>
      </c>
      <c r="R408" s="13" t="s">
        <v>26</v>
      </c>
      <c r="S408" s="13" t="s">
        <v>481</v>
      </c>
      <c r="T408" s="13" t="s">
        <v>16</v>
      </c>
      <c r="U408" s="17">
        <f t="shared" si="14"/>
        <v>15264953</v>
      </c>
    </row>
    <row r="409" spans="1:21" x14ac:dyDescent="0.3">
      <c r="A409" s="13">
        <v>92</v>
      </c>
      <c r="B409" s="13" t="str">
        <f>+VLOOKUP(A409,'[1]PA 2023'!$A$8:$E$84,5)</f>
        <v>Mantener a 1.656 personas mayores vulnerables con atencion integral en instituciones especializadas a través de las modalidades centros vida y centros de bienestar en el marco de la Ley 1276 de 2009.</v>
      </c>
      <c r="C409" s="14">
        <v>2020680010040</v>
      </c>
      <c r="D409" s="14" t="str">
        <f>+VLOOKUP(C409,'[1]PA 2023'!$G$8:$H$84,2,FALSE)</f>
        <v>IMPLEMENTACIÓN DE ACCIONES TENDIENTES A MEJORAR LAS CONDICIONES DE LOS ADULTOS MAYORES DEL MUNICIPIO DE BUCARAMANGA</v>
      </c>
      <c r="E409" s="13" t="s">
        <v>1122</v>
      </c>
      <c r="F409" s="15">
        <v>54</v>
      </c>
      <c r="G409" s="22" t="s">
        <v>184</v>
      </c>
      <c r="H409" s="21" t="s">
        <v>185</v>
      </c>
      <c r="I409" s="13" t="s">
        <v>479</v>
      </c>
      <c r="J409" s="13" t="s">
        <v>384</v>
      </c>
      <c r="K409" s="16">
        <v>45016</v>
      </c>
      <c r="L409" s="17">
        <v>60848947</v>
      </c>
      <c r="M409" s="17">
        <v>60848947</v>
      </c>
      <c r="N409" s="18">
        <v>41464540</v>
      </c>
      <c r="O409" s="22" t="s">
        <v>1159</v>
      </c>
      <c r="Q409" s="13">
        <v>3936</v>
      </c>
      <c r="R409" s="13" t="s">
        <v>386</v>
      </c>
      <c r="S409" s="13" t="s">
        <v>481</v>
      </c>
      <c r="T409" s="13" t="s">
        <v>16</v>
      </c>
      <c r="U409" s="17">
        <f t="shared" si="14"/>
        <v>19384407</v>
      </c>
    </row>
    <row r="410" spans="1:21" x14ac:dyDescent="0.3">
      <c r="A410" s="13">
        <v>92</v>
      </c>
      <c r="B410" s="13" t="str">
        <f>+VLOOKUP(A410,'[1]PA 2023'!$A$8:$E$84,5)</f>
        <v>Mantener a 1.656 personas mayores vulnerables con atencion integral en instituciones especializadas a través de las modalidades centros vida y centros de bienestar en el marco de la Ley 1276 de 2009.</v>
      </c>
      <c r="C410" s="14">
        <v>2020680010040</v>
      </c>
      <c r="D410" s="14" t="str">
        <f>+VLOOKUP(C410,'[1]PA 2023'!$G$8:$H$84,2,FALSE)</f>
        <v>IMPLEMENTACIÓN DE ACCIONES TENDIENTES A MEJORAR LAS CONDICIONES DE LOS ADULTOS MAYORES DEL MUNICIPIO DE BUCARAMANGA</v>
      </c>
      <c r="E410" s="13" t="s">
        <v>1122</v>
      </c>
      <c r="F410" s="15">
        <v>54</v>
      </c>
      <c r="G410" s="22" t="s">
        <v>184</v>
      </c>
      <c r="H410" s="21" t="s">
        <v>185</v>
      </c>
      <c r="I410" s="13" t="s">
        <v>479</v>
      </c>
      <c r="J410" s="13" t="s">
        <v>1123</v>
      </c>
      <c r="K410" s="16">
        <v>45016</v>
      </c>
      <c r="L410" s="17">
        <v>57185280</v>
      </c>
      <c r="M410" s="17">
        <v>57185280</v>
      </c>
      <c r="N410" s="18">
        <v>44180420</v>
      </c>
      <c r="O410" s="22" t="s">
        <v>1159</v>
      </c>
      <c r="Q410" s="13">
        <v>3937</v>
      </c>
      <c r="R410" s="13" t="s">
        <v>1125</v>
      </c>
      <c r="S410" s="13" t="s">
        <v>481</v>
      </c>
      <c r="T410" s="13" t="s">
        <v>16</v>
      </c>
      <c r="U410" s="17">
        <f t="shared" si="14"/>
        <v>13004860</v>
      </c>
    </row>
    <row r="411" spans="1:21" x14ac:dyDescent="0.3">
      <c r="A411" s="13">
        <v>92</v>
      </c>
      <c r="B411" s="13" t="str">
        <f>+VLOOKUP(A411,'[1]PA 2023'!$A$8:$E$84,5)</f>
        <v>Mantener a 1.656 personas mayores vulnerables con atencion integral en instituciones especializadas a través de las modalidades centros vida y centros de bienestar en el marco de la Ley 1276 de 2009.</v>
      </c>
      <c r="C411" s="14">
        <v>2020680010040</v>
      </c>
      <c r="D411" s="14" t="str">
        <f>+VLOOKUP(C411,'[1]PA 2023'!$G$8:$H$84,2,FALSE)</f>
        <v>IMPLEMENTACIÓN DE ACCIONES TENDIENTES A MEJORAR LAS CONDICIONES DE LOS ADULTOS MAYORES DEL MUNICIPIO DE BUCARAMANGA</v>
      </c>
      <c r="E411" s="13" t="s">
        <v>1134</v>
      </c>
      <c r="F411" s="15">
        <v>57</v>
      </c>
      <c r="G411" s="22" t="s">
        <v>184</v>
      </c>
      <c r="H411" s="21" t="s">
        <v>185</v>
      </c>
      <c r="I411" s="13" t="s">
        <v>425</v>
      </c>
      <c r="J411" s="13" t="s">
        <v>384</v>
      </c>
      <c r="K411" s="16">
        <v>45016</v>
      </c>
      <c r="L411" s="17">
        <v>50814160</v>
      </c>
      <c r="M411" s="17">
        <v>50814160</v>
      </c>
      <c r="N411" s="18">
        <f>14211000+14653120+14211000</f>
        <v>43075120</v>
      </c>
      <c r="O411" s="22" t="s">
        <v>1158</v>
      </c>
      <c r="Q411" s="13">
        <v>3938</v>
      </c>
      <c r="R411" s="13" t="s">
        <v>386</v>
      </c>
      <c r="S411" s="13" t="s">
        <v>427</v>
      </c>
      <c r="T411" s="13" t="s">
        <v>16</v>
      </c>
      <c r="U411" s="17">
        <f t="shared" si="14"/>
        <v>7739040</v>
      </c>
    </row>
    <row r="412" spans="1:21" x14ac:dyDescent="0.3">
      <c r="A412" s="13">
        <v>93</v>
      </c>
      <c r="B412" s="13" t="str">
        <f>+VLOOKUP(A412,'[1]PA 2023'!$A$8:$E$84,5)</f>
        <v>Mantener en funcionamiento los 3 Centros Vida con la prestacion de servicios integrales y/o dotacion de los mismos cumpliendo con la oferta institucional.</v>
      </c>
      <c r="C412" s="14">
        <v>2020680010040</v>
      </c>
      <c r="D412" s="14" t="str">
        <f>+VLOOKUP(C412,'[1]PA 2023'!$G$8:$H$84,2,FALSE)</f>
        <v>IMPLEMENTACIÓN DE ACCIONES TENDIENTES A MEJORAR LAS CONDICIONES DE LOS ADULTOS MAYORES DEL MUNICIPIO DE BUCARAMANGA</v>
      </c>
      <c r="E412" s="13" t="s">
        <v>1161</v>
      </c>
      <c r="F412" s="15" t="s">
        <v>22</v>
      </c>
      <c r="G412" s="22" t="s">
        <v>23</v>
      </c>
      <c r="H412" s="21" t="s">
        <v>23</v>
      </c>
      <c r="I412" s="13" t="s">
        <v>32</v>
      </c>
      <c r="J412" s="13" t="s">
        <v>25</v>
      </c>
      <c r="K412" s="16">
        <v>45027</v>
      </c>
      <c r="L412" s="17">
        <v>84094</v>
      </c>
      <c r="M412" s="17">
        <v>84094</v>
      </c>
      <c r="N412" s="18">
        <v>84094</v>
      </c>
      <c r="O412" s="15" t="s">
        <v>23</v>
      </c>
      <c r="Q412" s="13">
        <v>3955</v>
      </c>
      <c r="R412" s="13" t="s">
        <v>26</v>
      </c>
      <c r="S412" s="13" t="s">
        <v>33</v>
      </c>
      <c r="T412" s="13" t="s">
        <v>16</v>
      </c>
      <c r="U412" s="17">
        <f t="shared" si="14"/>
        <v>0</v>
      </c>
    </row>
    <row r="413" spans="1:21" x14ac:dyDescent="0.3">
      <c r="A413" s="13">
        <v>98</v>
      </c>
      <c r="B413" s="13" t="str">
        <f>+VLOOKUP(A413,'[1]PA 2023'!$A$8:$E$84,5)</f>
        <v>Mantener el 100% del apoyo logístico a las familias beneficiadas del programa Familias en Acción.</v>
      </c>
      <c r="C413" s="14">
        <v>2020680010072</v>
      </c>
      <c r="D413" s="14" t="str">
        <f>+VLOOKUP(C413,'[1]PA 2023'!$G$8:$H$84,2,FALSE)</f>
        <v>APOYO A LA OPERATIVIDAD DEL PROGRAMA NACIONAL MÁS FAMILIAS EN ACCIÓN EN EL MUNICIPIO DE BUCARAMANGA</v>
      </c>
      <c r="E413" s="13" t="s">
        <v>1162</v>
      </c>
      <c r="F413" s="15" t="s">
        <v>22</v>
      </c>
      <c r="G413" s="22" t="s">
        <v>23</v>
      </c>
      <c r="H413" s="21" t="s">
        <v>23</v>
      </c>
      <c r="I413" s="13" t="s">
        <v>470</v>
      </c>
      <c r="J413" s="13" t="s">
        <v>472</v>
      </c>
      <c r="K413" s="16">
        <v>45027</v>
      </c>
      <c r="L413" s="17">
        <v>70872.960000000006</v>
      </c>
      <c r="M413" s="17">
        <v>70872.960000000006</v>
      </c>
      <c r="N413" s="18">
        <v>70872.960000000006</v>
      </c>
      <c r="O413" s="15" t="s">
        <v>23</v>
      </c>
      <c r="Q413" s="13">
        <v>3956</v>
      </c>
      <c r="R413" s="23" t="s">
        <v>473</v>
      </c>
      <c r="S413" s="13" t="s">
        <v>471</v>
      </c>
      <c r="T413" s="13" t="s">
        <v>16</v>
      </c>
      <c r="U413" s="17">
        <f t="shared" si="14"/>
        <v>0</v>
      </c>
    </row>
    <row r="414" spans="1:21" x14ac:dyDescent="0.3">
      <c r="A414" s="13">
        <v>93</v>
      </c>
      <c r="B414" s="13" t="str">
        <f>+VLOOKUP(A414,'[1]PA 2023'!$A$8:$E$84,5)</f>
        <v>Mantener en funcionamiento los 3 Centros Vida con la prestacion de servicios integrales y/o dotacion de los mismos cumpliendo con la oferta institucional.</v>
      </c>
      <c r="C414" s="14">
        <v>2020680010040</v>
      </c>
      <c r="D414" s="14" t="str">
        <f>+VLOOKUP(C414,'[1]PA 2023'!$G$8:$H$84,2,FALSE)</f>
        <v>IMPLEMENTACIÓN DE ACCIONES TENDIENTES A MEJORAR LAS CONDICIONES DE LOS ADULTOS MAYORES DEL MUNICIPIO DE BUCARAMANGA</v>
      </c>
      <c r="E414" s="13" t="s">
        <v>1162</v>
      </c>
      <c r="F414" s="15" t="s">
        <v>22</v>
      </c>
      <c r="G414" s="22" t="s">
        <v>23</v>
      </c>
      <c r="H414" s="21" t="s">
        <v>23</v>
      </c>
      <c r="I414" s="13" t="s">
        <v>470</v>
      </c>
      <c r="J414" s="13" t="s">
        <v>25</v>
      </c>
      <c r="K414" s="16">
        <v>45027</v>
      </c>
      <c r="L414" s="17">
        <v>128953.97</v>
      </c>
      <c r="M414" s="17">
        <v>128953.97</v>
      </c>
      <c r="N414" s="18">
        <v>128953.97</v>
      </c>
      <c r="O414" s="15" t="s">
        <v>23</v>
      </c>
      <c r="Q414" s="13">
        <v>3956</v>
      </c>
      <c r="R414" s="23" t="s">
        <v>26</v>
      </c>
      <c r="S414" s="13" t="s">
        <v>471</v>
      </c>
      <c r="T414" s="13" t="s">
        <v>16</v>
      </c>
      <c r="U414" s="17">
        <f t="shared" si="14"/>
        <v>0</v>
      </c>
    </row>
    <row r="415" spans="1:21" x14ac:dyDescent="0.3">
      <c r="A415" s="13">
        <v>283</v>
      </c>
      <c r="B415" s="13" t="str">
        <f>+VLOOKUP(A415,'[1]PA 2023'!$A$8:$E$84,5)</f>
        <v>Formular e implementar 1 estrategia que fortalezca la democracia participativa (Ley 1757 de 2015).</v>
      </c>
      <c r="C415" s="14">
        <v>2022680010029</v>
      </c>
      <c r="D415" s="14" t="str">
        <f>+VLOOKUP(C415,'[1]PA 2023'!$G$8:$H$84,2,FALSE)</f>
        <v>FORTALECIMIENTO DE LA PARTICIPACIÓN CIUDADANA EN EL MUNICIPIO DE BUCARAMANGA</v>
      </c>
      <c r="E415" s="13" t="s">
        <v>1162</v>
      </c>
      <c r="F415" s="15" t="s">
        <v>22</v>
      </c>
      <c r="G415" s="22" t="s">
        <v>23</v>
      </c>
      <c r="H415" s="21" t="s">
        <v>23</v>
      </c>
      <c r="I415" s="13" t="s">
        <v>470</v>
      </c>
      <c r="J415" s="13" t="s">
        <v>468</v>
      </c>
      <c r="K415" s="16">
        <v>45027</v>
      </c>
      <c r="L415" s="17">
        <v>70872.960000000006</v>
      </c>
      <c r="M415" s="17">
        <v>70872.960000000006</v>
      </c>
      <c r="N415" s="18">
        <v>70872.960000000006</v>
      </c>
      <c r="O415" s="15" t="s">
        <v>23</v>
      </c>
      <c r="Q415" s="13">
        <v>3956</v>
      </c>
      <c r="R415" s="23" t="s">
        <v>134</v>
      </c>
      <c r="S415" s="13" t="s">
        <v>471</v>
      </c>
      <c r="T415" s="13" t="s">
        <v>16</v>
      </c>
      <c r="U415" s="17">
        <f t="shared" si="14"/>
        <v>0</v>
      </c>
    </row>
    <row r="416" spans="1:21" x14ac:dyDescent="0.3">
      <c r="A416" s="13">
        <v>285</v>
      </c>
      <c r="B416" s="13" t="str">
        <f>+VLOOKUP(A416,'[1]PA 2023'!$A$8:$E$84,5)</f>
        <v>Mantener en funcionamiento el 100% de los salones comunales que hacen parte del programa Ágoras.</v>
      </c>
      <c r="C416" s="14">
        <v>2022680010029</v>
      </c>
      <c r="D416" s="14" t="str">
        <f>+VLOOKUP(C416,'[1]PA 2023'!$G$8:$H$84,2,FALSE)</f>
        <v>FORTALECIMIENTO DE LA PARTICIPACIÓN CIUDADANA EN EL MUNICIPIO DE BUCARAMANGA</v>
      </c>
      <c r="E416" s="13" t="s">
        <v>1163</v>
      </c>
      <c r="F416" s="15" t="s">
        <v>22</v>
      </c>
      <c r="G416" s="22" t="s">
        <v>23</v>
      </c>
      <c r="H416" s="21" t="s">
        <v>23</v>
      </c>
      <c r="I416" s="13" t="s">
        <v>470</v>
      </c>
      <c r="J416" s="13" t="s">
        <v>1130</v>
      </c>
      <c r="K416" s="16">
        <v>45027</v>
      </c>
      <c r="L416" s="17">
        <v>1177608</v>
      </c>
      <c r="M416" s="17">
        <v>1177608</v>
      </c>
      <c r="N416" s="18">
        <v>1177608</v>
      </c>
      <c r="O416" s="15" t="s">
        <v>23</v>
      </c>
      <c r="Q416" s="13">
        <v>3971</v>
      </c>
      <c r="R416" s="13" t="s">
        <v>134</v>
      </c>
      <c r="S416" s="13" t="s">
        <v>471</v>
      </c>
      <c r="T416" s="13" t="s">
        <v>16</v>
      </c>
      <c r="U416" s="17">
        <f t="shared" si="14"/>
        <v>0</v>
      </c>
    </row>
    <row r="417" spans="1:21" x14ac:dyDescent="0.3">
      <c r="A417" s="13">
        <v>99</v>
      </c>
      <c r="B417" s="13" t="str">
        <f>+VLOOKUP(A417,'[1]PA 2023'!$A$8:$E$84,5)</f>
        <v>Formular e implementar 1 estrategia para brindar asistencia social a la población afectada por las diferentes emergencias y particularmente COVID-19.</v>
      </c>
      <c r="C417" s="14">
        <v>2022680010036</v>
      </c>
      <c r="D417" s="14" t="str">
        <f>+VLOOKUP(C417,'[1]PA 2023'!$G$8:$H$84,2,FALSE)</f>
        <v>IMPLEMENTACIÓN DE ACCIONES DE ASISTENCIA SOCIAL ORIENTADAS A LA POBLACIÓN AFECTADA POR LAS DIFERENTES EMERGENCIAS SOCIALES, NATURALES, SANITARIAS ANTRÓPICAS O EN SITUACIÓN DE VULNERABILIDAD EN EL MUNICIPIO DE BUCARAMANGA</v>
      </c>
      <c r="E417" s="13" t="s">
        <v>1164</v>
      </c>
      <c r="F417" s="15">
        <v>62</v>
      </c>
      <c r="G417" s="22" t="s">
        <v>156</v>
      </c>
      <c r="H417" s="21" t="s">
        <v>1165</v>
      </c>
      <c r="I417" s="13" t="s">
        <v>1166</v>
      </c>
      <c r="J417" s="13" t="s">
        <v>1167</v>
      </c>
      <c r="K417" s="16">
        <v>45028</v>
      </c>
      <c r="L417" s="17">
        <v>20000000</v>
      </c>
      <c r="M417" s="17">
        <v>20000000</v>
      </c>
      <c r="N417" s="18">
        <v>0</v>
      </c>
      <c r="O417" s="22" t="s">
        <v>1168</v>
      </c>
      <c r="Q417" s="13">
        <v>4084</v>
      </c>
      <c r="R417" s="13" t="s">
        <v>1169</v>
      </c>
      <c r="S417" s="13" t="s">
        <v>1170</v>
      </c>
      <c r="T417" s="13" t="s">
        <v>16</v>
      </c>
      <c r="U417" s="17">
        <f t="shared" si="14"/>
        <v>20000000</v>
      </c>
    </row>
    <row r="418" spans="1:21" x14ac:dyDescent="0.3">
      <c r="A418" s="13">
        <v>106</v>
      </c>
      <c r="B418" s="13" t="str">
        <f>+VLOOKUP(A418,'[1]PA 2023'!$A$8:$E$84,5)</f>
        <v>Actualizar e implementar la Política Pública de Mujer.</v>
      </c>
      <c r="C418" s="14">
        <v>2020680010106</v>
      </c>
      <c r="D418" s="14" t="str">
        <f>+VLOOKUP(C418,'[1]PA 2023'!$G$8:$H$84,2,FALSE)</f>
        <v>FORTALECIMIENTO DE ESPACIOS DE PARTICIPACIÓN Y PREVENCIÓN DE VIOLENCIAS EN MUJERES Y POBLACIÓN CON ORIENTACIONES SEXUALES E IDENTIDADES DE GÉNERO DIVERSAS DEL MUNICIPIO DE BUCARAMANGA</v>
      </c>
      <c r="E418" s="13" t="s">
        <v>532</v>
      </c>
      <c r="F418" s="15">
        <v>1257</v>
      </c>
      <c r="G418" s="21" t="s">
        <v>43</v>
      </c>
      <c r="H418" s="21" t="s">
        <v>36</v>
      </c>
      <c r="I418" s="13" t="s">
        <v>533</v>
      </c>
      <c r="J418" s="13" t="s">
        <v>378</v>
      </c>
      <c r="K418" s="16">
        <v>45029</v>
      </c>
      <c r="L418" s="17">
        <v>-6600000</v>
      </c>
      <c r="M418" s="17">
        <v>-6600000</v>
      </c>
      <c r="N418" s="18">
        <v>0</v>
      </c>
      <c r="O418" s="22" t="s">
        <v>534</v>
      </c>
      <c r="Q418" s="13">
        <v>2188</v>
      </c>
      <c r="R418" s="23" t="s">
        <v>380</v>
      </c>
      <c r="S418" s="13" t="s">
        <v>535</v>
      </c>
      <c r="T418" s="13" t="s">
        <v>16</v>
      </c>
      <c r="U418" s="26">
        <v>0</v>
      </c>
    </row>
    <row r="419" spans="1:21" x14ac:dyDescent="0.3">
      <c r="A419" s="13">
        <v>99</v>
      </c>
      <c r="B419" s="13" t="str">
        <f>+VLOOKUP(A419,'[1]PA 2023'!$A$8:$E$84,5)</f>
        <v>Formular e implementar 1 estrategia para brindar asistencia social a la población afectada por las diferentes emergencias y particularmente COVID-19.</v>
      </c>
      <c r="C419" s="14">
        <v>2022680010036</v>
      </c>
      <c r="D419" s="14" t="str">
        <f>+VLOOKUP(C419,'[1]PA 2023'!$G$8:$H$84,2,FALSE)</f>
        <v>IMPLEMENTACIÓN DE ACCIONES DE ASISTENCIA SOCIAL ORIENTADAS A LA POBLACIÓN AFECTADA POR LAS DIFERENTES EMERGENCIAS SOCIALES, NATURALES, SANITARIAS ANTRÓPICAS O EN SITUACIÓN DE VULNERABILIDAD EN EL MUNICIPIO DE BUCARAMANGA</v>
      </c>
      <c r="E419" s="13" t="s">
        <v>1064</v>
      </c>
      <c r="F419" s="15">
        <v>1762</v>
      </c>
      <c r="G419" s="22" t="s">
        <v>35</v>
      </c>
      <c r="H419" s="21" t="s">
        <v>36</v>
      </c>
      <c r="I419" s="13" t="s">
        <v>1068</v>
      </c>
      <c r="J419" s="13" t="s">
        <v>538</v>
      </c>
      <c r="K419" s="16">
        <v>45029</v>
      </c>
      <c r="L419" s="17">
        <v>-3540000</v>
      </c>
      <c r="M419" s="17">
        <v>-3540000</v>
      </c>
      <c r="N419" s="18">
        <v>0</v>
      </c>
      <c r="O419" s="22" t="s">
        <v>1069</v>
      </c>
      <c r="Q419" s="13">
        <v>3499</v>
      </c>
      <c r="R419" s="23" t="s">
        <v>540</v>
      </c>
      <c r="S419" s="13" t="s">
        <v>1070</v>
      </c>
      <c r="T419" s="13" t="s">
        <v>16</v>
      </c>
      <c r="U419" s="26">
        <v>0</v>
      </c>
    </row>
    <row r="420" spans="1:21" x14ac:dyDescent="0.3">
      <c r="A420" s="13">
        <v>75</v>
      </c>
      <c r="B420" s="13" t="str">
        <f>+VLOOKUP(A420,'[1]PA 2023'!$A$8:$E$84,5)</f>
        <v>Formular e implementar 1 estrategia comunitaria y familiar para la prevención y erradicación del trabajo infantil en niños, niñas y adolescentes de acuerdo a los lineamientos del Plan Nacional  de Erradicación del trabajo infantil y sus peores formas.</v>
      </c>
      <c r="C420" s="14">
        <v>2021680010003</v>
      </c>
      <c r="D420" s="14" t="str">
        <f>+VLOOKUP(C420,'[1]PA 2023'!$G$8:$H$84,2,FALSE)</f>
        <v>IMPLEMENTACIÓN DE ESTRATEGIAS PSICOPEDAGÓGICAS PARA LA DISMINUCIÓN DE FACTORES DE RIESGO EN NIÑOS, NIÑAS Y ADOLESCENTES EN EL MUNICIPIO DE BUCARAMANGA</v>
      </c>
      <c r="E420" s="13" t="s">
        <v>1171</v>
      </c>
      <c r="F420" s="15">
        <v>1853</v>
      </c>
      <c r="G420" s="21" t="s">
        <v>35</v>
      </c>
      <c r="H420" s="21" t="s">
        <v>36</v>
      </c>
      <c r="I420" s="13" t="s">
        <v>1172</v>
      </c>
      <c r="J420" s="13" t="s">
        <v>212</v>
      </c>
      <c r="K420" s="16">
        <v>45029</v>
      </c>
      <c r="L420" s="17">
        <v>3750000</v>
      </c>
      <c r="M420" s="17">
        <v>3750000</v>
      </c>
      <c r="N420" s="18">
        <f>1500000+2250000</f>
        <v>3750000</v>
      </c>
      <c r="O420" s="22" t="s">
        <v>1173</v>
      </c>
      <c r="Q420" s="13">
        <v>4241</v>
      </c>
      <c r="R420" s="13" t="s">
        <v>164</v>
      </c>
      <c r="S420" s="13" t="s">
        <v>1174</v>
      </c>
      <c r="T420" s="13" t="s">
        <v>16</v>
      </c>
      <c r="U420" s="17">
        <f t="shared" ref="U420:U453" si="15">+M420-N420</f>
        <v>0</v>
      </c>
    </row>
    <row r="421" spans="1:21" x14ac:dyDescent="0.3">
      <c r="A421" s="13">
        <v>283</v>
      </c>
      <c r="B421" s="13" t="str">
        <f>+VLOOKUP(A421,'[1]PA 2023'!$A$8:$E$84,5)</f>
        <v>Formular e implementar 1 estrategia que fortalezca la democracia participativa (Ley 1757 de 2015).</v>
      </c>
      <c r="C421" s="14">
        <v>2022680010035</v>
      </c>
      <c r="D421" s="14" t="str">
        <f>+VLOOKUP(C421,'[1]PA 2023'!$G$8:$H$84,2,FALSE)</f>
        <v>FORTALECIMIENTO DE LA PARTICIPACIÓN E INCIDENCIA DE LAS EXPRESIONES E INSTITUCIONES DEMOCRÁTICAS JUVENILES DE LA CIUDAD DE BUCARAMANGA</v>
      </c>
      <c r="E421" s="13" t="s">
        <v>1175</v>
      </c>
      <c r="F421" s="15">
        <v>1852</v>
      </c>
      <c r="G421" s="21" t="s">
        <v>43</v>
      </c>
      <c r="H421" s="21" t="s">
        <v>36</v>
      </c>
      <c r="I421" s="13" t="s">
        <v>1176</v>
      </c>
      <c r="J421" s="13" t="s">
        <v>468</v>
      </c>
      <c r="K421" s="16">
        <v>45029</v>
      </c>
      <c r="L421" s="17">
        <v>5166666.67</v>
      </c>
      <c r="M421" s="17">
        <v>5166666.67</v>
      </c>
      <c r="N421" s="18">
        <f>1860000+3100000+206666.67</f>
        <v>5166666.67</v>
      </c>
      <c r="O421" s="22" t="s">
        <v>1177</v>
      </c>
      <c r="Q421" s="13">
        <v>4242</v>
      </c>
      <c r="R421" s="13" t="s">
        <v>134</v>
      </c>
      <c r="S421" s="13" t="s">
        <v>1178</v>
      </c>
      <c r="T421" s="13" t="s">
        <v>16</v>
      </c>
      <c r="U421" s="17">
        <f t="shared" si="15"/>
        <v>0</v>
      </c>
    </row>
    <row r="422" spans="1:21" x14ac:dyDescent="0.3">
      <c r="A422" s="13">
        <v>77</v>
      </c>
      <c r="B422" s="13" t="str">
        <f>+VLOOKUP(A422,'[1]PA 2023'!$A$8:$E$84,5)</f>
        <v>Realizar 4 jornadas de conmemoración del día de la niñez.</v>
      </c>
      <c r="C422" s="14">
        <v>2021680010003</v>
      </c>
      <c r="D422" s="14" t="str">
        <f>+VLOOKUP(C422,'[1]PA 2023'!$G$8:$H$84,2,FALSE)</f>
        <v>IMPLEMENTACIÓN DE ESTRATEGIAS PSICOPEDAGÓGICAS PARA LA DISMINUCIÓN DE FACTORES DE RIESGO EN NIÑOS, NIÑAS Y ADOLESCENTES EN EL MUNICIPIO DE BUCARAMANGA</v>
      </c>
      <c r="E422" s="13" t="s">
        <v>1179</v>
      </c>
      <c r="F422" s="15">
        <v>63</v>
      </c>
      <c r="G422" s="22" t="s">
        <v>1180</v>
      </c>
      <c r="H422" s="21" t="s">
        <v>1165</v>
      </c>
      <c r="I422" s="13" t="s">
        <v>1181</v>
      </c>
      <c r="J422" s="13" t="s">
        <v>1182</v>
      </c>
      <c r="K422" s="16">
        <v>45029</v>
      </c>
      <c r="L422" s="17">
        <v>44703183</v>
      </c>
      <c r="M422" s="17">
        <v>44703183</v>
      </c>
      <c r="N422" s="18">
        <v>44703183</v>
      </c>
      <c r="O422" s="22" t="s">
        <v>1183</v>
      </c>
      <c r="Q422" s="13">
        <v>4243</v>
      </c>
      <c r="R422" s="13" t="s">
        <v>164</v>
      </c>
      <c r="S422" s="13" t="s">
        <v>1184</v>
      </c>
      <c r="T422" s="13" t="s">
        <v>16</v>
      </c>
      <c r="U422" s="17">
        <f t="shared" si="15"/>
        <v>0</v>
      </c>
    </row>
    <row r="423" spans="1:21" x14ac:dyDescent="0.3">
      <c r="A423" s="13">
        <v>78</v>
      </c>
      <c r="B423" s="13" t="str">
        <f>+VLOOKUP(A423,'[1]PA 2023'!$A$8:$E$84,5)</f>
        <v>Formular e implementar 1 ruta de atención integral para niños, niñas, adolescentes refugiados y migrantes y sus familias.</v>
      </c>
      <c r="C423" s="14">
        <v>2022680010056</v>
      </c>
      <c r="D423" s="14" t="str">
        <f>+VLOOKUP(C423,'[1]PA 2023'!$G$8:$H$84,2,FALSE)</f>
        <v>APOYO EN LOS PROCESOS DE ATENCIÓN INTEGRAL DE LOS NIÑOS Y NIÑAS EN EL ESPACIO DE CUIDADO Y ALBERGUE "CASA BÚHO" EN EL MUNICIPIO DE BUCARAMANGA</v>
      </c>
      <c r="E423" s="13" t="s">
        <v>1185</v>
      </c>
      <c r="F423" s="15" t="s">
        <v>1186</v>
      </c>
      <c r="G423" s="22" t="s">
        <v>156</v>
      </c>
      <c r="H423" s="21" t="s">
        <v>1187</v>
      </c>
      <c r="I423" s="13" t="s">
        <v>1188</v>
      </c>
      <c r="J423" s="13" t="s">
        <v>168</v>
      </c>
      <c r="K423" s="16">
        <v>45030</v>
      </c>
      <c r="L423" s="17">
        <v>14709520</v>
      </c>
      <c r="M423" s="17">
        <v>14709520</v>
      </c>
      <c r="N423" s="18">
        <v>14709520</v>
      </c>
      <c r="O423" s="22" t="s">
        <v>1189</v>
      </c>
      <c r="Q423" s="13">
        <v>4382</v>
      </c>
      <c r="R423" s="23" t="s">
        <v>170</v>
      </c>
      <c r="S423" s="13" t="s">
        <v>1190</v>
      </c>
      <c r="T423" s="13" t="s">
        <v>16</v>
      </c>
      <c r="U423" s="17">
        <f t="shared" si="15"/>
        <v>0</v>
      </c>
    </row>
    <row r="424" spans="1:21" x14ac:dyDescent="0.3">
      <c r="A424" s="13">
        <v>113</v>
      </c>
      <c r="B424" s="13" t="str">
        <f>+VLOOKUP(A424,'[1]PA 2023'!$A$8:$E$84,5)</f>
        <v>Formular e implementar 1 política pública para habitante de calle.</v>
      </c>
      <c r="C424" s="14">
        <v>2020680010050</v>
      </c>
      <c r="D424" s="14" t="str">
        <f>+VLOOKUP(C424,'[1]PA 2023'!$G$8:$H$84,2,FALSE)</f>
        <v>DESARROLLO DE ACCIONES ENCAMINADAS A GENERAR ATENCIÓN INTEGRAL HACIA LA POBLACIÓN HABITANTES EN SITUACIÓN DE CALLE DEL MUNICIPIO DE BUCARAMANGA</v>
      </c>
      <c r="E424" s="13" t="s">
        <v>1185</v>
      </c>
      <c r="F424" s="15" t="s">
        <v>1186</v>
      </c>
      <c r="G424" s="22" t="s">
        <v>156</v>
      </c>
      <c r="H424" s="21" t="s">
        <v>1187</v>
      </c>
      <c r="I424" s="13" t="s">
        <v>1188</v>
      </c>
      <c r="J424" s="13" t="s">
        <v>768</v>
      </c>
      <c r="K424" s="16">
        <v>45030</v>
      </c>
      <c r="L424" s="17">
        <v>10313956</v>
      </c>
      <c r="M424" s="17">
        <v>10313956</v>
      </c>
      <c r="N424" s="18">
        <v>3568285.1</v>
      </c>
      <c r="O424" s="22" t="s">
        <v>1189</v>
      </c>
      <c r="Q424" s="13">
        <v>4382</v>
      </c>
      <c r="R424" s="23" t="s">
        <v>770</v>
      </c>
      <c r="S424" s="13" t="s">
        <v>1190</v>
      </c>
      <c r="T424" s="13" t="s">
        <v>16</v>
      </c>
      <c r="U424" s="17">
        <f t="shared" si="15"/>
        <v>6745670.9000000004</v>
      </c>
    </row>
    <row r="425" spans="1:21" x14ac:dyDescent="0.3">
      <c r="A425" s="13">
        <v>99</v>
      </c>
      <c r="B425" s="13" t="str">
        <f>+VLOOKUP(A425,'[1]PA 2023'!$A$8:$E$84,5)</f>
        <v>Formular e implementar 1 estrategia para brindar asistencia social a la población afectada por las diferentes emergencias y particularmente COVID-19.</v>
      </c>
      <c r="C425" s="14">
        <v>2022680010036</v>
      </c>
      <c r="D425" s="14" t="str">
        <f>+VLOOKUP(C425,'[1]PA 2023'!$G$8:$H$84,2,FALSE)</f>
        <v>IMPLEMENTACIÓN DE ACCIONES DE ASISTENCIA SOCIAL ORIENTADAS A LA POBLACIÓN AFECTADA POR LAS DIFERENTES EMERGENCIAS SOCIALES, NATURALES, SANITARIAS ANTRÓPICAS O EN SITUACIÓN DE VULNERABILIDAD EN EL MUNICIPIO DE BUCARAMANGA</v>
      </c>
      <c r="E425" s="13" t="s">
        <v>1191</v>
      </c>
      <c r="F425" s="15">
        <v>1856</v>
      </c>
      <c r="G425" s="22" t="s">
        <v>35</v>
      </c>
      <c r="H425" s="21" t="s">
        <v>36</v>
      </c>
      <c r="I425" s="13" t="s">
        <v>1192</v>
      </c>
      <c r="J425" s="13" t="s">
        <v>538</v>
      </c>
      <c r="K425" s="16">
        <v>45033</v>
      </c>
      <c r="L425" s="17">
        <v>2700000</v>
      </c>
      <c r="M425" s="17">
        <v>2700000</v>
      </c>
      <c r="N425" s="18">
        <f>840000+1800000+60000</f>
        <v>2700000</v>
      </c>
      <c r="O425" s="22" t="s">
        <v>1193</v>
      </c>
      <c r="Q425" s="13">
        <v>4485</v>
      </c>
      <c r="R425" s="13" t="s">
        <v>540</v>
      </c>
      <c r="S425" s="13" t="s">
        <v>1194</v>
      </c>
      <c r="T425" s="13" t="s">
        <v>16</v>
      </c>
      <c r="U425" s="17">
        <f t="shared" si="15"/>
        <v>0</v>
      </c>
    </row>
    <row r="426" spans="1:21" x14ac:dyDescent="0.3">
      <c r="A426" s="13">
        <v>78</v>
      </c>
      <c r="B426" s="13" t="str">
        <f>+VLOOKUP(A426,'[1]PA 2023'!$A$8:$E$84,5)</f>
        <v>Formular e implementar 1 ruta de atención integral para niños, niñas, adolescentes refugiados y migrantes y sus familias.</v>
      </c>
      <c r="C426" s="14">
        <v>2021680010003</v>
      </c>
      <c r="D426" s="14" t="str">
        <f>+VLOOKUP(C426,'[1]PA 2023'!$G$8:$H$84,2,FALSE)</f>
        <v>IMPLEMENTACIÓN DE ESTRATEGIAS PSICOPEDAGÓGICAS PARA LA DISMINUCIÓN DE FACTORES DE RIESGO EN NIÑOS, NIÑAS Y ADOLESCENTES EN EL MUNICIPIO DE BUCARAMANGA</v>
      </c>
      <c r="E426" s="13" t="s">
        <v>854</v>
      </c>
      <c r="F426" s="15">
        <v>1859</v>
      </c>
      <c r="G426" s="21" t="s">
        <v>35</v>
      </c>
      <c r="H426" s="21" t="s">
        <v>36</v>
      </c>
      <c r="I426" s="13" t="s">
        <v>1195</v>
      </c>
      <c r="J426" s="13" t="s">
        <v>212</v>
      </c>
      <c r="K426" s="16">
        <v>45033</v>
      </c>
      <c r="L426" s="17">
        <v>3750000</v>
      </c>
      <c r="M426" s="17">
        <v>3750000</v>
      </c>
      <c r="N426" s="18">
        <f>1083333.33+2500000+166666.67</f>
        <v>3750000</v>
      </c>
      <c r="O426" s="22" t="s">
        <v>1196</v>
      </c>
      <c r="Q426" s="13">
        <v>4487</v>
      </c>
      <c r="R426" s="13" t="s">
        <v>164</v>
      </c>
      <c r="S426" s="13" t="s">
        <v>1197</v>
      </c>
      <c r="T426" s="13" t="s">
        <v>16</v>
      </c>
      <c r="U426" s="17">
        <f t="shared" si="15"/>
        <v>0</v>
      </c>
    </row>
    <row r="427" spans="1:21" x14ac:dyDescent="0.3">
      <c r="A427" s="13">
        <v>286</v>
      </c>
      <c r="B427" s="13" t="str">
        <f>+VLOOKUP(A427,'[1]PA 2023'!$A$8:$E$84,5)</f>
        <v>Mantener el beneficio al 100% de los ediles con pago de EPS, ARL, póliza de vida y dotación.</v>
      </c>
      <c r="C427" s="14">
        <v>2022680010029</v>
      </c>
      <c r="D427" s="14" t="str">
        <f>+VLOOKUP(C427,'[1]PA 2023'!$G$8:$H$84,2,FALSE)</f>
        <v>FORTALECIMIENTO DE LA PARTICIPACIÓN CIUDADANA EN EL MUNICIPIO DE BUCARAMANGA</v>
      </c>
      <c r="E427" s="13" t="s">
        <v>1198</v>
      </c>
      <c r="F427" s="15" t="s">
        <v>22</v>
      </c>
      <c r="G427" s="22" t="s">
        <v>23</v>
      </c>
      <c r="H427" s="21" t="s">
        <v>23</v>
      </c>
      <c r="I427" s="13" t="s">
        <v>132</v>
      </c>
      <c r="J427" s="13" t="s">
        <v>133</v>
      </c>
      <c r="K427" s="16">
        <v>45033</v>
      </c>
      <c r="L427" s="17">
        <v>713700</v>
      </c>
      <c r="M427" s="17">
        <v>713700</v>
      </c>
      <c r="N427" s="18">
        <v>713700</v>
      </c>
      <c r="O427" s="15" t="s">
        <v>23</v>
      </c>
      <c r="Q427" s="13">
        <v>4488</v>
      </c>
      <c r="R427" s="13" t="s">
        <v>134</v>
      </c>
      <c r="S427" s="13" t="s">
        <v>135</v>
      </c>
      <c r="T427" s="13" t="s">
        <v>16</v>
      </c>
      <c r="U427" s="17">
        <f t="shared" si="15"/>
        <v>0</v>
      </c>
    </row>
    <row r="428" spans="1:21" x14ac:dyDescent="0.3">
      <c r="A428" s="13">
        <v>286</v>
      </c>
      <c r="B428" s="13" t="str">
        <f>+VLOOKUP(A428,'[1]PA 2023'!$A$8:$E$84,5)</f>
        <v>Mantener el beneficio al 100% de los ediles con pago de EPS, ARL, póliza de vida y dotación.</v>
      </c>
      <c r="C428" s="14">
        <v>2022680010029</v>
      </c>
      <c r="D428" s="14" t="str">
        <f>+VLOOKUP(C428,'[1]PA 2023'!$G$8:$H$84,2,FALSE)</f>
        <v>FORTALECIMIENTO DE LA PARTICIPACIÓN CIUDADANA EN EL MUNICIPIO DE BUCARAMANGA</v>
      </c>
      <c r="E428" s="13" t="s">
        <v>1199</v>
      </c>
      <c r="F428" s="15" t="s">
        <v>22</v>
      </c>
      <c r="G428" s="22" t="s">
        <v>23</v>
      </c>
      <c r="H428" s="21" t="s">
        <v>23</v>
      </c>
      <c r="I428" s="13" t="s">
        <v>137</v>
      </c>
      <c r="J428" s="13" t="s">
        <v>133</v>
      </c>
      <c r="K428" s="16">
        <v>45033</v>
      </c>
      <c r="L428" s="17">
        <v>725000</v>
      </c>
      <c r="M428" s="17">
        <v>725000</v>
      </c>
      <c r="N428" s="18">
        <v>725000</v>
      </c>
      <c r="O428" s="15" t="s">
        <v>23</v>
      </c>
      <c r="Q428" s="13">
        <v>4489</v>
      </c>
      <c r="R428" s="13" t="s">
        <v>134</v>
      </c>
      <c r="S428" s="13" t="s">
        <v>138</v>
      </c>
      <c r="T428" s="13" t="s">
        <v>16</v>
      </c>
      <c r="U428" s="17">
        <f t="shared" si="15"/>
        <v>0</v>
      </c>
    </row>
    <row r="429" spans="1:21" x14ac:dyDescent="0.3">
      <c r="A429" s="13">
        <v>286</v>
      </c>
      <c r="B429" s="13" t="str">
        <f>+VLOOKUP(A429,'[1]PA 2023'!$A$8:$E$84,5)</f>
        <v>Mantener el beneficio al 100% de los ediles con pago de EPS, ARL, póliza de vida y dotación.</v>
      </c>
      <c r="C429" s="14">
        <v>2022680010029</v>
      </c>
      <c r="D429" s="14" t="str">
        <f>+VLOOKUP(C429,'[1]PA 2023'!$G$8:$H$84,2,FALSE)</f>
        <v>FORTALECIMIENTO DE LA PARTICIPACIÓN CIUDADANA EN EL MUNICIPIO DE BUCARAMANGA</v>
      </c>
      <c r="E429" s="13" t="s">
        <v>1199</v>
      </c>
      <c r="F429" s="15" t="s">
        <v>22</v>
      </c>
      <c r="G429" s="22" t="s">
        <v>23</v>
      </c>
      <c r="H429" s="21" t="s">
        <v>23</v>
      </c>
      <c r="I429" s="13" t="s">
        <v>139</v>
      </c>
      <c r="J429" s="13" t="s">
        <v>133</v>
      </c>
      <c r="K429" s="16">
        <v>45033</v>
      </c>
      <c r="L429" s="17">
        <v>870000</v>
      </c>
      <c r="M429" s="17">
        <v>870000</v>
      </c>
      <c r="N429" s="18">
        <v>870000</v>
      </c>
      <c r="O429" s="15" t="s">
        <v>23</v>
      </c>
      <c r="Q429" s="13">
        <v>4490</v>
      </c>
      <c r="R429" s="13" t="s">
        <v>134</v>
      </c>
      <c r="S429" s="13" t="s">
        <v>140</v>
      </c>
      <c r="T429" s="13" t="s">
        <v>16</v>
      </c>
      <c r="U429" s="17">
        <f t="shared" si="15"/>
        <v>0</v>
      </c>
    </row>
    <row r="430" spans="1:21" x14ac:dyDescent="0.3">
      <c r="A430" s="13">
        <v>286</v>
      </c>
      <c r="B430" s="13" t="str">
        <f>+VLOOKUP(A430,'[1]PA 2023'!$A$8:$E$84,5)</f>
        <v>Mantener el beneficio al 100% de los ediles con pago de EPS, ARL, póliza de vida y dotación.</v>
      </c>
      <c r="C430" s="14">
        <v>2022680010029</v>
      </c>
      <c r="D430" s="14" t="str">
        <f>+VLOOKUP(C430,'[1]PA 2023'!$G$8:$H$84,2,FALSE)</f>
        <v>FORTALECIMIENTO DE LA PARTICIPACIÓN CIUDADANA EN EL MUNICIPIO DE BUCARAMANGA</v>
      </c>
      <c r="E430" s="13" t="s">
        <v>1199</v>
      </c>
      <c r="F430" s="15" t="s">
        <v>22</v>
      </c>
      <c r="G430" s="22" t="s">
        <v>23</v>
      </c>
      <c r="H430" s="21" t="s">
        <v>23</v>
      </c>
      <c r="I430" s="13" t="s">
        <v>139</v>
      </c>
      <c r="J430" s="13" t="s">
        <v>133</v>
      </c>
      <c r="K430" s="16">
        <v>45033</v>
      </c>
      <c r="L430" s="17">
        <v>435000</v>
      </c>
      <c r="M430" s="17">
        <v>435000</v>
      </c>
      <c r="N430" s="18">
        <v>435000</v>
      </c>
      <c r="O430" s="15" t="s">
        <v>23</v>
      </c>
      <c r="Q430" s="13">
        <v>4491</v>
      </c>
      <c r="R430" s="13" t="s">
        <v>134</v>
      </c>
      <c r="S430" s="13" t="s">
        <v>140</v>
      </c>
      <c r="T430" s="13" t="s">
        <v>16</v>
      </c>
      <c r="U430" s="17">
        <f t="shared" si="15"/>
        <v>0</v>
      </c>
    </row>
    <row r="431" spans="1:21" x14ac:dyDescent="0.3">
      <c r="A431" s="13">
        <v>286</v>
      </c>
      <c r="B431" s="13" t="str">
        <f>+VLOOKUP(A431,'[1]PA 2023'!$A$8:$E$84,5)</f>
        <v>Mantener el beneficio al 100% de los ediles con pago de EPS, ARL, póliza de vida y dotación.</v>
      </c>
      <c r="C431" s="14">
        <v>2022680010029</v>
      </c>
      <c r="D431" s="14" t="str">
        <f>+VLOOKUP(C431,'[1]PA 2023'!$G$8:$H$84,2,FALSE)</f>
        <v>FORTALECIMIENTO DE LA PARTICIPACIÓN CIUDADANA EN EL MUNICIPIO DE BUCARAMANGA</v>
      </c>
      <c r="E431" s="13" t="s">
        <v>1199</v>
      </c>
      <c r="F431" s="15" t="s">
        <v>22</v>
      </c>
      <c r="G431" s="22" t="s">
        <v>23</v>
      </c>
      <c r="H431" s="21" t="s">
        <v>23</v>
      </c>
      <c r="I431" s="13" t="s">
        <v>141</v>
      </c>
      <c r="J431" s="13" t="s">
        <v>133</v>
      </c>
      <c r="K431" s="16">
        <v>45033</v>
      </c>
      <c r="L431" s="17">
        <v>1740000</v>
      </c>
      <c r="M431" s="17">
        <v>1740000</v>
      </c>
      <c r="N431" s="18">
        <v>1740000</v>
      </c>
      <c r="O431" s="15" t="s">
        <v>23</v>
      </c>
      <c r="Q431" s="13">
        <v>4492</v>
      </c>
      <c r="R431" s="13" t="s">
        <v>134</v>
      </c>
      <c r="S431" s="13" t="s">
        <v>142</v>
      </c>
      <c r="T431" s="13" t="s">
        <v>16</v>
      </c>
      <c r="U431" s="17">
        <f t="shared" si="15"/>
        <v>0</v>
      </c>
    </row>
    <row r="432" spans="1:21" x14ac:dyDescent="0.3">
      <c r="A432" s="13">
        <v>286</v>
      </c>
      <c r="B432" s="13" t="str">
        <f>+VLOOKUP(A432,'[1]PA 2023'!$A$8:$E$84,5)</f>
        <v>Mantener el beneficio al 100% de los ediles con pago de EPS, ARL, póliza de vida y dotación.</v>
      </c>
      <c r="C432" s="14">
        <v>2022680010029</v>
      </c>
      <c r="D432" s="14" t="str">
        <f>+VLOOKUP(C432,'[1]PA 2023'!$G$8:$H$84,2,FALSE)</f>
        <v>FORTALECIMIENTO DE LA PARTICIPACIÓN CIUDADANA EN EL MUNICIPIO DE BUCARAMANGA</v>
      </c>
      <c r="E432" s="13" t="s">
        <v>1199</v>
      </c>
      <c r="F432" s="15" t="s">
        <v>22</v>
      </c>
      <c r="G432" s="22" t="s">
        <v>23</v>
      </c>
      <c r="H432" s="21" t="s">
        <v>23</v>
      </c>
      <c r="I432" s="13" t="s">
        <v>143</v>
      </c>
      <c r="J432" s="13" t="s">
        <v>133</v>
      </c>
      <c r="K432" s="16">
        <v>45033</v>
      </c>
      <c r="L432" s="17">
        <v>1015000</v>
      </c>
      <c r="M432" s="17">
        <v>1015000</v>
      </c>
      <c r="N432" s="18">
        <v>1015000</v>
      </c>
      <c r="O432" s="15" t="s">
        <v>23</v>
      </c>
      <c r="Q432" s="13">
        <v>4493</v>
      </c>
      <c r="R432" s="13" t="s">
        <v>134</v>
      </c>
      <c r="S432" s="13" t="s">
        <v>144</v>
      </c>
      <c r="T432" s="13" t="s">
        <v>16</v>
      </c>
      <c r="U432" s="17">
        <f t="shared" si="15"/>
        <v>0</v>
      </c>
    </row>
    <row r="433" spans="1:21" x14ac:dyDescent="0.3">
      <c r="A433" s="13">
        <v>286</v>
      </c>
      <c r="B433" s="13" t="str">
        <f>+VLOOKUP(A433,'[1]PA 2023'!$A$8:$E$84,5)</f>
        <v>Mantener el beneficio al 100% de los ediles con pago de EPS, ARL, póliza de vida y dotación.</v>
      </c>
      <c r="C433" s="14">
        <v>2022680010029</v>
      </c>
      <c r="D433" s="14" t="str">
        <f>+VLOOKUP(C433,'[1]PA 2023'!$G$8:$H$84,2,FALSE)</f>
        <v>FORTALECIMIENTO DE LA PARTICIPACIÓN CIUDADANA EN EL MUNICIPIO DE BUCARAMANGA</v>
      </c>
      <c r="E433" s="13" t="s">
        <v>1199</v>
      </c>
      <c r="F433" s="15" t="s">
        <v>22</v>
      </c>
      <c r="G433" s="22" t="s">
        <v>23</v>
      </c>
      <c r="H433" s="21" t="s">
        <v>23</v>
      </c>
      <c r="I433" s="13" t="s">
        <v>145</v>
      </c>
      <c r="J433" s="13" t="s">
        <v>133</v>
      </c>
      <c r="K433" s="16">
        <v>45033</v>
      </c>
      <c r="L433" s="17">
        <v>580000</v>
      </c>
      <c r="M433" s="17">
        <v>580000</v>
      </c>
      <c r="N433" s="18">
        <v>580000</v>
      </c>
      <c r="O433" s="15" t="s">
        <v>23</v>
      </c>
      <c r="Q433" s="13">
        <v>4494</v>
      </c>
      <c r="R433" s="13" t="s">
        <v>134</v>
      </c>
      <c r="S433" s="13" t="s">
        <v>146</v>
      </c>
      <c r="T433" s="13" t="s">
        <v>16</v>
      </c>
      <c r="U433" s="17">
        <f t="shared" si="15"/>
        <v>0</v>
      </c>
    </row>
    <row r="434" spans="1:21" x14ac:dyDescent="0.3">
      <c r="A434" s="13">
        <v>286</v>
      </c>
      <c r="B434" s="13" t="str">
        <f>+VLOOKUP(A434,'[1]PA 2023'!$A$8:$E$84,5)</f>
        <v>Mantener el beneficio al 100% de los ediles con pago de EPS, ARL, póliza de vida y dotación.</v>
      </c>
      <c r="C434" s="14">
        <v>2022680010029</v>
      </c>
      <c r="D434" s="14" t="str">
        <f>+VLOOKUP(C434,'[1]PA 2023'!$G$8:$H$84,2,FALSE)</f>
        <v>FORTALECIMIENTO DE LA PARTICIPACIÓN CIUDADANA EN EL MUNICIPIO DE BUCARAMANGA</v>
      </c>
      <c r="E434" s="13" t="s">
        <v>1199</v>
      </c>
      <c r="F434" s="15" t="s">
        <v>22</v>
      </c>
      <c r="G434" s="22" t="s">
        <v>23</v>
      </c>
      <c r="H434" s="21" t="s">
        <v>23</v>
      </c>
      <c r="I434" s="13" t="s">
        <v>147</v>
      </c>
      <c r="J434" s="13" t="s">
        <v>133</v>
      </c>
      <c r="K434" s="16">
        <v>45033</v>
      </c>
      <c r="L434" s="17">
        <v>290000</v>
      </c>
      <c r="M434" s="17">
        <v>290000</v>
      </c>
      <c r="N434" s="18">
        <v>290000</v>
      </c>
      <c r="O434" s="15" t="s">
        <v>23</v>
      </c>
      <c r="Q434" s="13">
        <v>4495</v>
      </c>
      <c r="R434" s="13" t="s">
        <v>134</v>
      </c>
      <c r="S434" s="13" t="s">
        <v>148</v>
      </c>
      <c r="T434" s="13" t="s">
        <v>16</v>
      </c>
      <c r="U434" s="17">
        <f t="shared" si="15"/>
        <v>0</v>
      </c>
    </row>
    <row r="435" spans="1:21" x14ac:dyDescent="0.3">
      <c r="A435" s="13">
        <v>286</v>
      </c>
      <c r="B435" s="13" t="str">
        <f>+VLOOKUP(A435,'[1]PA 2023'!$A$8:$E$84,5)</f>
        <v>Mantener el beneficio al 100% de los ediles con pago de EPS, ARL, póliza de vida y dotación.</v>
      </c>
      <c r="C435" s="14">
        <v>2022680010029</v>
      </c>
      <c r="D435" s="14" t="str">
        <f>+VLOOKUP(C435,'[1]PA 2023'!$G$8:$H$84,2,FALSE)</f>
        <v>FORTALECIMIENTO DE LA PARTICIPACIÓN CIUDADANA EN EL MUNICIPIO DE BUCARAMANGA</v>
      </c>
      <c r="E435" s="13" t="s">
        <v>1199</v>
      </c>
      <c r="F435" s="15" t="s">
        <v>22</v>
      </c>
      <c r="G435" s="22" t="s">
        <v>23</v>
      </c>
      <c r="H435" s="21" t="s">
        <v>23</v>
      </c>
      <c r="I435" s="13" t="s">
        <v>147</v>
      </c>
      <c r="J435" s="13" t="s">
        <v>133</v>
      </c>
      <c r="K435" s="16">
        <v>45033</v>
      </c>
      <c r="L435" s="17">
        <v>4495000</v>
      </c>
      <c r="M435" s="17">
        <v>4495000</v>
      </c>
      <c r="N435" s="18">
        <v>4495000</v>
      </c>
      <c r="O435" s="15" t="s">
        <v>23</v>
      </c>
      <c r="Q435" s="13">
        <v>4496</v>
      </c>
      <c r="R435" s="13" t="s">
        <v>134</v>
      </c>
      <c r="S435" s="13" t="s">
        <v>148</v>
      </c>
      <c r="T435" s="13" t="s">
        <v>16</v>
      </c>
      <c r="U435" s="17">
        <f t="shared" si="15"/>
        <v>0</v>
      </c>
    </row>
    <row r="436" spans="1:21" x14ac:dyDescent="0.3">
      <c r="A436" s="13">
        <v>286</v>
      </c>
      <c r="B436" s="13" t="str">
        <f>+VLOOKUP(A436,'[1]PA 2023'!$A$8:$E$84,5)</f>
        <v>Mantener el beneficio al 100% de los ediles con pago de EPS, ARL, póliza de vida y dotación.</v>
      </c>
      <c r="C436" s="14">
        <v>2022680010029</v>
      </c>
      <c r="D436" s="14" t="str">
        <f>+VLOOKUP(C436,'[1]PA 2023'!$G$8:$H$84,2,FALSE)</f>
        <v>FORTALECIMIENTO DE LA PARTICIPACIÓN CIUDADANA EN EL MUNICIPIO DE BUCARAMANGA</v>
      </c>
      <c r="E436" s="13" t="s">
        <v>1199</v>
      </c>
      <c r="F436" s="15" t="s">
        <v>22</v>
      </c>
      <c r="G436" s="22" t="s">
        <v>23</v>
      </c>
      <c r="H436" s="21" t="s">
        <v>23</v>
      </c>
      <c r="I436" s="13" t="s">
        <v>149</v>
      </c>
      <c r="J436" s="13" t="s">
        <v>133</v>
      </c>
      <c r="K436" s="16">
        <v>45033</v>
      </c>
      <c r="L436" s="17">
        <v>870000</v>
      </c>
      <c r="M436" s="17">
        <v>870000</v>
      </c>
      <c r="N436" s="18">
        <v>870000</v>
      </c>
      <c r="O436" s="15" t="s">
        <v>23</v>
      </c>
      <c r="Q436" s="13">
        <v>4497</v>
      </c>
      <c r="R436" s="13" t="s">
        <v>134</v>
      </c>
      <c r="S436" s="13" t="s">
        <v>150</v>
      </c>
      <c r="T436" s="13" t="s">
        <v>16</v>
      </c>
      <c r="U436" s="17">
        <f t="shared" si="15"/>
        <v>0</v>
      </c>
    </row>
    <row r="437" spans="1:21" x14ac:dyDescent="0.3">
      <c r="A437" s="13">
        <v>286</v>
      </c>
      <c r="B437" s="13" t="str">
        <f>+VLOOKUP(A437,'[1]PA 2023'!$A$8:$E$84,5)</f>
        <v>Mantener el beneficio al 100% de los ediles con pago de EPS, ARL, póliza de vida y dotación.</v>
      </c>
      <c r="C437" s="14">
        <v>2022680010029</v>
      </c>
      <c r="D437" s="14" t="str">
        <f>+VLOOKUP(C437,'[1]PA 2023'!$G$8:$H$84,2,FALSE)</f>
        <v>FORTALECIMIENTO DE LA PARTICIPACIÓN CIUDADANA EN EL MUNICIPIO DE BUCARAMANGA</v>
      </c>
      <c r="E437" s="13" t="s">
        <v>1199</v>
      </c>
      <c r="F437" s="15" t="s">
        <v>22</v>
      </c>
      <c r="G437" s="22" t="s">
        <v>23</v>
      </c>
      <c r="H437" s="21" t="s">
        <v>23</v>
      </c>
      <c r="I437" s="13" t="s">
        <v>153</v>
      </c>
      <c r="J437" s="13" t="s">
        <v>133</v>
      </c>
      <c r="K437" s="16">
        <v>45033</v>
      </c>
      <c r="L437" s="17">
        <v>2610000</v>
      </c>
      <c r="M437" s="17">
        <v>2610000</v>
      </c>
      <c r="N437" s="18">
        <v>2610000</v>
      </c>
      <c r="O437" s="15" t="s">
        <v>23</v>
      </c>
      <c r="Q437" s="13">
        <v>4498</v>
      </c>
      <c r="R437" s="13" t="s">
        <v>134</v>
      </c>
      <c r="S437" s="13" t="s">
        <v>154</v>
      </c>
      <c r="T437" s="13" t="s">
        <v>16</v>
      </c>
      <c r="U437" s="17">
        <f t="shared" si="15"/>
        <v>0</v>
      </c>
    </row>
    <row r="438" spans="1:21" x14ac:dyDescent="0.3">
      <c r="A438" s="13">
        <v>286</v>
      </c>
      <c r="B438" s="13" t="str">
        <f>+VLOOKUP(A438,'[1]PA 2023'!$A$8:$E$84,5)</f>
        <v>Mantener el beneficio al 100% de los ediles con pago de EPS, ARL, póliza de vida y dotación.</v>
      </c>
      <c r="C438" s="14">
        <v>2022680010029</v>
      </c>
      <c r="D438" s="14" t="str">
        <f>+VLOOKUP(C438,'[1]PA 2023'!$G$8:$H$84,2,FALSE)</f>
        <v>FORTALECIMIENTO DE LA PARTICIPACIÓN CIUDADANA EN EL MUNICIPIO DE BUCARAMANGA</v>
      </c>
      <c r="E438" s="13" t="s">
        <v>1199</v>
      </c>
      <c r="F438" s="15" t="s">
        <v>22</v>
      </c>
      <c r="G438" s="22" t="s">
        <v>23</v>
      </c>
      <c r="H438" s="21" t="s">
        <v>23</v>
      </c>
      <c r="I438" s="13" t="s">
        <v>151</v>
      </c>
      <c r="J438" s="13" t="s">
        <v>133</v>
      </c>
      <c r="K438" s="16">
        <v>45033</v>
      </c>
      <c r="L438" s="17">
        <v>3335000</v>
      </c>
      <c r="M438" s="17">
        <v>3335000</v>
      </c>
      <c r="N438" s="18">
        <v>3335000</v>
      </c>
      <c r="O438" s="15" t="s">
        <v>23</v>
      </c>
      <c r="Q438" s="13">
        <v>4499</v>
      </c>
      <c r="R438" s="13" t="s">
        <v>134</v>
      </c>
      <c r="S438" s="13" t="s">
        <v>152</v>
      </c>
      <c r="T438" s="13" t="s">
        <v>16</v>
      </c>
      <c r="U438" s="17">
        <f t="shared" si="15"/>
        <v>0</v>
      </c>
    </row>
    <row r="439" spans="1:21" x14ac:dyDescent="0.3">
      <c r="A439" s="13">
        <v>78</v>
      </c>
      <c r="B439" s="13" t="str">
        <f>+VLOOKUP(A439,'[1]PA 2023'!$A$8:$E$84,5)</f>
        <v>Formular e implementar 1 ruta de atención integral para niños, niñas, adolescentes refugiados y migrantes y sus familias.</v>
      </c>
      <c r="C439" s="14">
        <v>2022680010056</v>
      </c>
      <c r="D439" s="14" t="str">
        <f>+VLOOKUP(C439,'[1]PA 2023'!$G$8:$H$84,2,FALSE)</f>
        <v>APOYO EN LOS PROCESOS DE ATENCIÓN INTEGRAL DE LOS NIÑOS Y NIÑAS EN EL ESPACIO DE CUIDADO Y ALBERGUE "CASA BÚHO" EN EL MUNICIPIO DE BUCARAMANGA</v>
      </c>
      <c r="E439" s="13" t="s">
        <v>1200</v>
      </c>
      <c r="F439" s="15" t="s">
        <v>22</v>
      </c>
      <c r="G439" s="22" t="s">
        <v>23</v>
      </c>
      <c r="H439" s="21" t="s">
        <v>23</v>
      </c>
      <c r="I439" s="13" t="s">
        <v>29</v>
      </c>
      <c r="J439" s="13" t="s">
        <v>970</v>
      </c>
      <c r="K439" s="16">
        <v>45034</v>
      </c>
      <c r="L439" s="17">
        <v>25780</v>
      </c>
      <c r="M439" s="17">
        <v>25780</v>
      </c>
      <c r="N439" s="18">
        <v>25780</v>
      </c>
      <c r="O439" s="15" t="s">
        <v>23</v>
      </c>
      <c r="Q439" s="13">
        <v>4501</v>
      </c>
      <c r="R439" s="13" t="s">
        <v>971</v>
      </c>
      <c r="S439" s="13" t="s">
        <v>30</v>
      </c>
      <c r="T439" s="13" t="s">
        <v>16</v>
      </c>
      <c r="U439" s="17">
        <f t="shared" si="15"/>
        <v>0</v>
      </c>
    </row>
    <row r="440" spans="1:21" x14ac:dyDescent="0.3">
      <c r="A440" s="13">
        <v>93</v>
      </c>
      <c r="B440" s="13" t="str">
        <f>+VLOOKUP(A440,'[1]PA 2023'!$A$8:$E$84,5)</f>
        <v>Mantener en funcionamiento los 3 Centros Vida con la prestacion de servicios integrales y/o dotacion de los mismos cumpliendo con la oferta institucional.</v>
      </c>
      <c r="C440" s="14">
        <v>2020680010040</v>
      </c>
      <c r="D440" s="14" t="str">
        <f>+VLOOKUP(C440,'[1]PA 2023'!$G$8:$H$84,2,FALSE)</f>
        <v>IMPLEMENTACIÓN DE ACCIONES TENDIENTES A MEJORAR LAS CONDICIONES DE LOS ADULTOS MAYORES DEL MUNICIPIO DE BUCARAMANGA</v>
      </c>
      <c r="E440" s="13" t="s">
        <v>1201</v>
      </c>
      <c r="F440" s="15" t="s">
        <v>22</v>
      </c>
      <c r="G440" s="22" t="s">
        <v>23</v>
      </c>
      <c r="H440" s="21" t="s">
        <v>23</v>
      </c>
      <c r="I440" s="13" t="s">
        <v>29</v>
      </c>
      <c r="J440" s="13" t="s">
        <v>25</v>
      </c>
      <c r="K440" s="16">
        <v>45034</v>
      </c>
      <c r="L440" s="17">
        <v>109510</v>
      </c>
      <c r="M440" s="17">
        <v>109510</v>
      </c>
      <c r="N440" s="18">
        <v>109510</v>
      </c>
      <c r="O440" s="15" t="s">
        <v>23</v>
      </c>
      <c r="Q440" s="13">
        <v>4502</v>
      </c>
      <c r="R440" s="13" t="s">
        <v>26</v>
      </c>
      <c r="S440" s="13" t="s">
        <v>30</v>
      </c>
      <c r="T440" s="13" t="s">
        <v>16</v>
      </c>
      <c r="U440" s="17">
        <f t="shared" si="15"/>
        <v>0</v>
      </c>
    </row>
    <row r="441" spans="1:21" x14ac:dyDescent="0.3">
      <c r="A441" s="13">
        <v>283</v>
      </c>
      <c r="B441" s="13" t="str">
        <f>+VLOOKUP(A441,'[1]PA 2023'!$A$8:$E$84,5)</f>
        <v>Formular e implementar 1 estrategia que fortalezca la democracia participativa (Ley 1757 de 2015).</v>
      </c>
      <c r="C441" s="14">
        <v>2022680010029</v>
      </c>
      <c r="D441" s="14" t="str">
        <f>+VLOOKUP(C441,'[1]PA 2023'!$G$8:$H$84,2,FALSE)</f>
        <v>FORTALECIMIENTO DE LA PARTICIPACIÓN CIUDADANA EN EL MUNICIPIO DE BUCARAMANGA</v>
      </c>
      <c r="E441" s="13" t="s">
        <v>1202</v>
      </c>
      <c r="F441" s="15">
        <v>1862</v>
      </c>
      <c r="G441" s="21" t="s">
        <v>35</v>
      </c>
      <c r="H441" s="21" t="s">
        <v>36</v>
      </c>
      <c r="I441" s="13" t="s">
        <v>1203</v>
      </c>
      <c r="J441" s="13" t="s">
        <v>468</v>
      </c>
      <c r="K441" s="16">
        <v>45034</v>
      </c>
      <c r="L441" s="17">
        <v>2700000</v>
      </c>
      <c r="M441" s="17">
        <v>2700000</v>
      </c>
      <c r="N441" s="18">
        <f>780000+1800000+120000</f>
        <v>2700000</v>
      </c>
      <c r="O441" s="22" t="s">
        <v>1204</v>
      </c>
      <c r="Q441" s="13">
        <v>4503</v>
      </c>
      <c r="R441" s="13" t="s">
        <v>134</v>
      </c>
      <c r="S441" s="13" t="s">
        <v>1205</v>
      </c>
      <c r="T441" s="13" t="s">
        <v>16</v>
      </c>
      <c r="U441" s="17">
        <f t="shared" si="15"/>
        <v>0</v>
      </c>
    </row>
    <row r="442" spans="1:21" x14ac:dyDescent="0.3">
      <c r="A442" s="13">
        <v>283</v>
      </c>
      <c r="B442" s="13" t="str">
        <f>+VLOOKUP(A442,'[1]PA 2023'!$A$8:$E$84,5)</f>
        <v>Formular e implementar 1 estrategia que fortalezca la democracia participativa (Ley 1757 de 2015).</v>
      </c>
      <c r="C442" s="14">
        <v>2022680010029</v>
      </c>
      <c r="D442" s="14" t="str">
        <f>+VLOOKUP(C442,'[1]PA 2023'!$G$8:$H$84,2,FALSE)</f>
        <v>FORTALECIMIENTO DE LA PARTICIPACIÓN CIUDADANA EN EL MUNICIPIO DE BUCARAMANGA</v>
      </c>
      <c r="E442" s="13" t="s">
        <v>1206</v>
      </c>
      <c r="F442" s="15">
        <v>1869</v>
      </c>
      <c r="G442" s="21" t="s">
        <v>43</v>
      </c>
      <c r="H442" s="21" t="s">
        <v>36</v>
      </c>
      <c r="I442" s="13" t="s">
        <v>1207</v>
      </c>
      <c r="J442" s="13" t="s">
        <v>468</v>
      </c>
      <c r="K442" s="16">
        <v>45034</v>
      </c>
      <c r="L442" s="17">
        <v>4500000</v>
      </c>
      <c r="M442" s="17">
        <v>4500000</v>
      </c>
      <c r="N442" s="18">
        <f>1300000+3000000+200000</f>
        <v>4500000</v>
      </c>
      <c r="O442" s="22" t="s">
        <v>1208</v>
      </c>
      <c r="Q442" s="13">
        <v>4560</v>
      </c>
      <c r="R442" s="13" t="s">
        <v>134</v>
      </c>
      <c r="S442" s="13" t="s">
        <v>1209</v>
      </c>
      <c r="T442" s="13" t="s">
        <v>16</v>
      </c>
      <c r="U442" s="17">
        <f t="shared" si="15"/>
        <v>0</v>
      </c>
    </row>
    <row r="443" spans="1:21" x14ac:dyDescent="0.3">
      <c r="A443" s="13">
        <v>80</v>
      </c>
      <c r="B443" s="13" t="str">
        <f>+VLOOKUP(A443,'[1]PA 2023'!$A$8:$E$84,5)</f>
        <v>Brindar 150.000 entradas gratuitas de niñas, niños y adolescentes y sus familias a  eventos artísticos, culturales, lúdicos y recreativos.</v>
      </c>
      <c r="C443" s="14">
        <v>2021680010003</v>
      </c>
      <c r="D443" s="14" t="str">
        <f>+VLOOKUP(C443,'[1]PA 2023'!$G$8:$H$84,2,FALSE)</f>
        <v>IMPLEMENTACIÓN DE ESTRATEGIAS PSICOPEDAGÓGICAS PARA LA DISMINUCIÓN DE FACTORES DE RIESGO EN NIÑOS, NIÑAS Y ADOLESCENTES EN EL MUNICIPIO DE BUCARAMANGA</v>
      </c>
      <c r="E443" s="13" t="s">
        <v>1210</v>
      </c>
      <c r="F443" s="15">
        <v>76</v>
      </c>
      <c r="G443" s="22" t="s">
        <v>1114</v>
      </c>
      <c r="H443" s="21" t="s">
        <v>36</v>
      </c>
      <c r="I443" s="13" t="s">
        <v>1115</v>
      </c>
      <c r="J443" s="13" t="s">
        <v>1211</v>
      </c>
      <c r="K443" s="16">
        <v>45036</v>
      </c>
      <c r="L443" s="17">
        <v>89989561</v>
      </c>
      <c r="M443" s="17">
        <v>89989561</v>
      </c>
      <c r="N443" s="18">
        <v>89989561</v>
      </c>
      <c r="O443" s="22" t="s">
        <v>1212</v>
      </c>
      <c r="Q443" s="13">
        <v>4588</v>
      </c>
      <c r="R443" s="13" t="s">
        <v>164</v>
      </c>
      <c r="S443" s="13" t="s">
        <v>1118</v>
      </c>
      <c r="T443" s="13" t="s">
        <v>16</v>
      </c>
      <c r="U443" s="17">
        <f t="shared" si="15"/>
        <v>0</v>
      </c>
    </row>
    <row r="444" spans="1:21" x14ac:dyDescent="0.3">
      <c r="A444" s="13">
        <v>99</v>
      </c>
      <c r="B444" s="13" t="str">
        <f>+VLOOKUP(A444,'[1]PA 2023'!$A$8:$E$84,5)</f>
        <v>Formular e implementar 1 estrategia para brindar asistencia social a la población afectada por las diferentes emergencias y particularmente COVID-19.</v>
      </c>
      <c r="C444" s="14">
        <v>2022680010036</v>
      </c>
      <c r="D444" s="14" t="str">
        <f>+VLOOKUP(C444,'[1]PA 2023'!$G$8:$H$84,2,FALSE)</f>
        <v>IMPLEMENTACIÓN DE ACCIONES DE ASISTENCIA SOCIAL ORIENTADAS A LA POBLACIÓN AFECTADA POR LAS DIFERENTES EMERGENCIAS SOCIALES, NATURALES, SANITARIAS ANTRÓPICAS O EN SITUACIÓN DE VULNERABILIDAD EN EL MUNICIPIO DE BUCARAMANGA</v>
      </c>
      <c r="E444" s="13" t="s">
        <v>1213</v>
      </c>
      <c r="F444" s="15">
        <v>1879</v>
      </c>
      <c r="G444" s="21" t="s">
        <v>43</v>
      </c>
      <c r="H444" s="21" t="s">
        <v>36</v>
      </c>
      <c r="I444" s="13" t="s">
        <v>1214</v>
      </c>
      <c r="J444" s="13" t="s">
        <v>538</v>
      </c>
      <c r="K444" s="16">
        <v>45036</v>
      </c>
      <c r="L444" s="17">
        <v>3000000</v>
      </c>
      <c r="M444" s="17">
        <v>3000000</v>
      </c>
      <c r="N444" s="18">
        <f>733333.33+2000000+266666.67</f>
        <v>3000000</v>
      </c>
      <c r="O444" s="22" t="s">
        <v>1215</v>
      </c>
      <c r="Q444" s="13">
        <v>4591</v>
      </c>
      <c r="R444" s="13" t="s">
        <v>540</v>
      </c>
      <c r="S444" s="13" t="s">
        <v>1216</v>
      </c>
      <c r="T444" s="13" t="s">
        <v>16</v>
      </c>
      <c r="U444" s="17">
        <f t="shared" si="15"/>
        <v>0</v>
      </c>
    </row>
    <row r="445" spans="1:21" x14ac:dyDescent="0.3">
      <c r="A445" s="13">
        <v>206</v>
      </c>
      <c r="B445" s="13" t="str">
        <f>+VLOOKUP(A445,'[1]PA 2023'!$A$8:$E$84,5)</f>
        <v>Mantener el Plan General de Asistencia Técnica.</v>
      </c>
      <c r="C445" s="14">
        <v>2020680010123</v>
      </c>
      <c r="D445" s="14" t="str">
        <f>+VLOOKUP(C445,'[1]PA 2023'!$G$8:$H$84,2,FALSE)</f>
        <v>FORTALECIMIENTO DE LA PRODUCTIVIDAD Y COMPETITIVIDAD AGROPECUARIA EN EL SECTOR RURAL DEL MUNICIPIO DE BUCARAMANGA</v>
      </c>
      <c r="E445" s="13" t="s">
        <v>1064</v>
      </c>
      <c r="F445" s="15">
        <v>1881</v>
      </c>
      <c r="G445" s="22" t="s">
        <v>35</v>
      </c>
      <c r="H445" s="21" t="s">
        <v>36</v>
      </c>
      <c r="I445" s="13" t="s">
        <v>1217</v>
      </c>
      <c r="J445" s="13" t="s">
        <v>665</v>
      </c>
      <c r="K445" s="16">
        <v>45036</v>
      </c>
      <c r="L445" s="17">
        <v>3000000</v>
      </c>
      <c r="M445" s="17">
        <v>3000000</v>
      </c>
      <c r="N445" s="18">
        <f>733333.33+2000000+266666.67</f>
        <v>3000000</v>
      </c>
      <c r="O445" s="22" t="s">
        <v>1218</v>
      </c>
      <c r="Q445" s="13">
        <v>4592</v>
      </c>
      <c r="R445" s="13" t="s">
        <v>667</v>
      </c>
      <c r="S445" s="13" t="s">
        <v>1219</v>
      </c>
      <c r="T445" s="13" t="s">
        <v>16</v>
      </c>
      <c r="U445" s="17">
        <f t="shared" si="15"/>
        <v>0</v>
      </c>
    </row>
    <row r="446" spans="1:21" x14ac:dyDescent="0.3">
      <c r="A446" s="13">
        <v>93</v>
      </c>
      <c r="B446" s="13" t="str">
        <f>+VLOOKUP(A446,'[1]PA 2023'!$A$8:$E$84,5)</f>
        <v>Mantener en funcionamiento los 3 Centros Vida con la prestacion de servicios integrales y/o dotacion de los mismos cumpliendo con la oferta institucional.</v>
      </c>
      <c r="C446" s="14">
        <v>2020680010040</v>
      </c>
      <c r="D446" s="14" t="str">
        <f>+VLOOKUP(C446,'[1]PA 2023'!$G$8:$H$84,2,FALSE)</f>
        <v>IMPLEMENTACIÓN DE ACCIONES TENDIENTES A MEJORAR LAS CONDICIONES DE LOS ADULTOS MAYORES DEL MUNICIPIO DE BUCARAMANGA</v>
      </c>
      <c r="E446" s="13" t="s">
        <v>1220</v>
      </c>
      <c r="F446" s="15" t="s">
        <v>22</v>
      </c>
      <c r="G446" s="22" t="s">
        <v>23</v>
      </c>
      <c r="H446" s="21" t="s">
        <v>23</v>
      </c>
      <c r="I446" s="13" t="s">
        <v>24</v>
      </c>
      <c r="J446" s="13" t="s">
        <v>25</v>
      </c>
      <c r="K446" s="16">
        <v>45036</v>
      </c>
      <c r="L446" s="17">
        <v>1021700</v>
      </c>
      <c r="M446" s="17">
        <v>1021700</v>
      </c>
      <c r="N446" s="18">
        <v>1021700</v>
      </c>
      <c r="O446" s="15" t="s">
        <v>23</v>
      </c>
      <c r="Q446" s="13">
        <v>4600</v>
      </c>
      <c r="R446" s="13" t="s">
        <v>26</v>
      </c>
      <c r="S446" s="13" t="s">
        <v>27</v>
      </c>
      <c r="T446" s="13" t="s">
        <v>16</v>
      </c>
      <c r="U446" s="17">
        <f t="shared" si="15"/>
        <v>0</v>
      </c>
    </row>
    <row r="447" spans="1:21" x14ac:dyDescent="0.3">
      <c r="A447" s="13">
        <v>78</v>
      </c>
      <c r="B447" s="13" t="str">
        <f>+VLOOKUP(A447,'[1]PA 2023'!$A$8:$E$84,5)</f>
        <v>Formular e implementar 1 ruta de atención integral para niños, niñas, adolescentes refugiados y migrantes y sus familias.</v>
      </c>
      <c r="C447" s="14">
        <v>2022680010056</v>
      </c>
      <c r="D447" s="14" t="str">
        <f>+VLOOKUP(C447,'[1]PA 2023'!$G$8:$H$84,2,FALSE)</f>
        <v>APOYO EN LOS PROCESOS DE ATENCIÓN INTEGRAL DE LOS NIÑOS Y NIÑAS EN EL ESPACIO DE CUIDADO Y ALBERGUE "CASA BÚHO" EN EL MUNICIPIO DE BUCARAMANGA</v>
      </c>
      <c r="E447" s="13" t="s">
        <v>1221</v>
      </c>
      <c r="F447" s="15" t="s">
        <v>22</v>
      </c>
      <c r="G447" s="22" t="s">
        <v>23</v>
      </c>
      <c r="H447" s="21" t="s">
        <v>23</v>
      </c>
      <c r="I447" s="13" t="s">
        <v>24</v>
      </c>
      <c r="J447" s="13" t="s">
        <v>970</v>
      </c>
      <c r="K447" s="16">
        <v>45036</v>
      </c>
      <c r="L447" s="17">
        <v>73480</v>
      </c>
      <c r="M447" s="17">
        <v>73480</v>
      </c>
      <c r="N447" s="18">
        <v>73480</v>
      </c>
      <c r="O447" s="15" t="s">
        <v>23</v>
      </c>
      <c r="Q447" s="13">
        <v>4601</v>
      </c>
      <c r="R447" s="13" t="s">
        <v>971</v>
      </c>
      <c r="S447" s="13" t="s">
        <v>27</v>
      </c>
      <c r="T447" s="13" t="s">
        <v>16</v>
      </c>
      <c r="U447" s="17">
        <f t="shared" si="15"/>
        <v>0</v>
      </c>
    </row>
    <row r="448" spans="1:21" x14ac:dyDescent="0.3">
      <c r="A448" s="13">
        <v>285</v>
      </c>
      <c r="B448" s="13" t="str">
        <f>+VLOOKUP(A448,'[1]PA 2023'!$A$8:$E$84,5)</f>
        <v>Mantener en funcionamiento el 100% de los salones comunales que hacen parte del programa Ágoras.</v>
      </c>
      <c r="C448" s="14">
        <v>2022680010029</v>
      </c>
      <c r="D448" s="14" t="str">
        <f>+VLOOKUP(C448,'[1]PA 2023'!$G$8:$H$84,2,FALSE)</f>
        <v>FORTALECIMIENTO DE LA PARTICIPACIÓN CIUDADANA EN EL MUNICIPIO DE BUCARAMANGA</v>
      </c>
      <c r="E448" s="13" t="s">
        <v>1222</v>
      </c>
      <c r="F448" s="15" t="s">
        <v>22</v>
      </c>
      <c r="G448" s="22" t="s">
        <v>23</v>
      </c>
      <c r="H448" s="21" t="s">
        <v>23</v>
      </c>
      <c r="I448" s="13" t="s">
        <v>24</v>
      </c>
      <c r="J448" s="13" t="s">
        <v>1130</v>
      </c>
      <c r="K448" s="16">
        <v>45036</v>
      </c>
      <c r="L448" s="17">
        <v>206220</v>
      </c>
      <c r="M448" s="17">
        <v>206220</v>
      </c>
      <c r="N448" s="18">
        <v>206220</v>
      </c>
      <c r="O448" s="15" t="s">
        <v>23</v>
      </c>
      <c r="Q448" s="13">
        <v>4602</v>
      </c>
      <c r="R448" s="13" t="s">
        <v>134</v>
      </c>
      <c r="S448" s="13" t="s">
        <v>27</v>
      </c>
      <c r="T448" s="13" t="s">
        <v>16</v>
      </c>
      <c r="U448" s="17">
        <f t="shared" si="15"/>
        <v>0</v>
      </c>
    </row>
    <row r="449" spans="1:21" x14ac:dyDescent="0.3">
      <c r="A449" s="13">
        <v>99</v>
      </c>
      <c r="B449" s="13" t="str">
        <f>+VLOOKUP(A449,'[1]PA 2023'!$A$8:$E$84,5)</f>
        <v>Formular e implementar 1 estrategia para brindar asistencia social a la población afectada por las diferentes emergencias y particularmente COVID-19.</v>
      </c>
      <c r="C449" s="14">
        <v>2022680010036</v>
      </c>
      <c r="D449" s="14" t="str">
        <f>+VLOOKUP(C449,'[1]PA 2023'!$G$8:$H$84,2,FALSE)</f>
        <v>IMPLEMENTACIÓN DE ACCIONES DE ASISTENCIA SOCIAL ORIENTADAS A LA POBLACIÓN AFECTADA POR LAS DIFERENTES EMERGENCIAS SOCIALES, NATURALES, SANITARIAS ANTRÓPICAS O EN SITUACIÓN DE VULNERABILIDAD EN EL MUNICIPIO DE BUCARAMANGA</v>
      </c>
      <c r="E449" s="13" t="s">
        <v>1064</v>
      </c>
      <c r="F449" s="15">
        <v>1886</v>
      </c>
      <c r="G449" s="22" t="s">
        <v>35</v>
      </c>
      <c r="H449" s="21" t="s">
        <v>36</v>
      </c>
      <c r="I449" s="13" t="s">
        <v>1223</v>
      </c>
      <c r="J449" s="13" t="s">
        <v>538</v>
      </c>
      <c r="K449" s="16">
        <v>45037</v>
      </c>
      <c r="L449" s="17">
        <v>2700000</v>
      </c>
      <c r="M449" s="17">
        <v>2700000</v>
      </c>
      <c r="N449" s="18">
        <f>600000+1800000+300000</f>
        <v>2700000</v>
      </c>
      <c r="O449" s="22" t="s">
        <v>1224</v>
      </c>
      <c r="Q449" s="13">
        <v>4619</v>
      </c>
      <c r="R449" s="13" t="s">
        <v>540</v>
      </c>
      <c r="S449" s="13" t="s">
        <v>1225</v>
      </c>
      <c r="T449" s="13" t="s">
        <v>16</v>
      </c>
      <c r="U449" s="17">
        <f t="shared" si="15"/>
        <v>0</v>
      </c>
    </row>
    <row r="450" spans="1:21" x14ac:dyDescent="0.3">
      <c r="A450" s="13">
        <v>99</v>
      </c>
      <c r="B450" s="13" t="str">
        <f>+VLOOKUP(A450,'[1]PA 2023'!$A$8:$E$84,5)</f>
        <v>Formular e implementar 1 estrategia para brindar asistencia social a la población afectada por las diferentes emergencias y particularmente COVID-19.</v>
      </c>
      <c r="C450" s="14">
        <v>2022680010036</v>
      </c>
      <c r="D450" s="14" t="str">
        <f>+VLOOKUP(C450,'[1]PA 2023'!$G$8:$H$84,2,FALSE)</f>
        <v>IMPLEMENTACIÓN DE ACCIONES DE ASISTENCIA SOCIAL ORIENTADAS A LA POBLACIÓN AFECTADA POR LAS DIFERENTES EMERGENCIAS SOCIALES, NATURALES, SANITARIAS ANTRÓPICAS O EN SITUACIÓN DE VULNERABILIDAD EN EL MUNICIPIO DE BUCARAMANGA</v>
      </c>
      <c r="E450" s="13" t="s">
        <v>1226</v>
      </c>
      <c r="F450" s="15">
        <v>1884</v>
      </c>
      <c r="G450" s="22" t="s">
        <v>35</v>
      </c>
      <c r="H450" s="21" t="s">
        <v>36</v>
      </c>
      <c r="I450" s="13" t="s">
        <v>1227</v>
      </c>
      <c r="J450" s="13" t="s">
        <v>538</v>
      </c>
      <c r="K450" s="16">
        <v>45037</v>
      </c>
      <c r="L450" s="17">
        <v>2700000</v>
      </c>
      <c r="M450" s="17">
        <v>2700000</v>
      </c>
      <c r="N450" s="18">
        <f>600000+1800000+300000</f>
        <v>2700000</v>
      </c>
      <c r="O450" s="22" t="s">
        <v>1228</v>
      </c>
      <c r="Q450" s="13">
        <v>4620</v>
      </c>
      <c r="R450" s="13" t="s">
        <v>540</v>
      </c>
      <c r="S450" s="13" t="s">
        <v>1229</v>
      </c>
      <c r="T450" s="13" t="s">
        <v>16</v>
      </c>
      <c r="U450" s="17">
        <f t="shared" si="15"/>
        <v>0</v>
      </c>
    </row>
    <row r="451" spans="1:21" x14ac:dyDescent="0.3">
      <c r="A451" s="13">
        <v>94</v>
      </c>
      <c r="B451" s="13" t="str">
        <f>+VLOOKUP(A451,'[1]PA 2023'!$A$8:$E$84,5)</f>
        <v>Mantener el servicio atención primaria en salud, atención psicosocial que promueva la salud física, salud mental y el bienestar social de las personas mayores en los centros vida.</v>
      </c>
      <c r="C451" s="14">
        <v>2020680010040</v>
      </c>
      <c r="D451" s="14" t="str">
        <f>+VLOOKUP(C451,'[1]PA 2023'!$G$8:$H$84,2,FALSE)</f>
        <v>IMPLEMENTACIÓN DE ACCIONES TENDIENTES A MEJORAR LAS CONDICIONES DE LOS ADULTOS MAYORES DEL MUNICIPIO DE BUCARAMANGA</v>
      </c>
      <c r="E451" s="13" t="s">
        <v>1230</v>
      </c>
      <c r="F451" s="15">
        <v>1885</v>
      </c>
      <c r="G451" s="21" t="s">
        <v>43</v>
      </c>
      <c r="H451" s="21" t="s">
        <v>36</v>
      </c>
      <c r="I451" s="13" t="s">
        <v>1231</v>
      </c>
      <c r="J451" s="13" t="s">
        <v>574</v>
      </c>
      <c r="K451" s="16">
        <v>45037</v>
      </c>
      <c r="L451" s="17">
        <v>4000000</v>
      </c>
      <c r="M451" s="17">
        <v>4000000</v>
      </c>
      <c r="N451" s="18">
        <f>1000000+3000000</f>
        <v>4000000</v>
      </c>
      <c r="O451" s="22" t="s">
        <v>1232</v>
      </c>
      <c r="Q451" s="13">
        <v>4630</v>
      </c>
      <c r="R451" s="13" t="s">
        <v>26</v>
      </c>
      <c r="S451" s="13" t="s">
        <v>1233</v>
      </c>
      <c r="T451" s="13" t="s">
        <v>16</v>
      </c>
      <c r="U451" s="17">
        <f t="shared" si="15"/>
        <v>0</v>
      </c>
    </row>
    <row r="452" spans="1:21" x14ac:dyDescent="0.3">
      <c r="A452" s="13">
        <v>78</v>
      </c>
      <c r="B452" s="13" t="str">
        <f>+VLOOKUP(A452,'[1]PA 2023'!$A$8:$E$84,5)</f>
        <v>Formular e implementar 1 ruta de atención integral para niños, niñas, adolescentes refugiados y migrantes y sus familias.</v>
      </c>
      <c r="C452" s="14">
        <v>2022680010056</v>
      </c>
      <c r="D452" s="14" t="str">
        <f>+VLOOKUP(C452,'[1]PA 2023'!$G$8:$H$84,2,FALSE)</f>
        <v>APOYO EN LOS PROCESOS DE ATENCIÓN INTEGRAL DE LOS NIÑOS Y NIÑAS EN EL ESPACIO DE CUIDADO Y ALBERGUE "CASA BÚHO" EN EL MUNICIPIO DE BUCARAMANGA</v>
      </c>
      <c r="E452" s="13" t="s">
        <v>1234</v>
      </c>
      <c r="F452" s="15">
        <v>79</v>
      </c>
      <c r="G452" s="22" t="s">
        <v>1235</v>
      </c>
      <c r="H452" s="21" t="s">
        <v>157</v>
      </c>
      <c r="I452" s="13" t="s">
        <v>1236</v>
      </c>
      <c r="J452" s="13" t="s">
        <v>1237</v>
      </c>
      <c r="K452" s="16">
        <v>45037</v>
      </c>
      <c r="L452" s="17">
        <v>309815000</v>
      </c>
      <c r="M452" s="17">
        <v>309815000</v>
      </c>
      <c r="N452" s="18">
        <f>34508165.76+21015589.32+20763304.56+24573666.6</f>
        <v>100860726.24000001</v>
      </c>
      <c r="O452" s="22" t="s">
        <v>1238</v>
      </c>
      <c r="Q452" s="13">
        <v>4631</v>
      </c>
      <c r="R452" s="13" t="s">
        <v>971</v>
      </c>
      <c r="S452" s="13" t="s">
        <v>1239</v>
      </c>
      <c r="T452" s="13" t="s">
        <v>16</v>
      </c>
      <c r="U452" s="17">
        <f t="shared" si="15"/>
        <v>208954273.75999999</v>
      </c>
    </row>
    <row r="453" spans="1:21" x14ac:dyDescent="0.3">
      <c r="A453" s="13">
        <v>285</v>
      </c>
      <c r="B453" s="13" t="str">
        <f>+VLOOKUP(A453,'[1]PA 2023'!$A$8:$E$84,5)</f>
        <v>Mantener en funcionamiento el 100% de los salones comunales que hacen parte del programa Ágoras.</v>
      </c>
      <c r="C453" s="14">
        <v>2022680010029</v>
      </c>
      <c r="D453" s="14" t="str">
        <f>+VLOOKUP(C453,'[1]PA 2023'!$G$8:$H$84,2,FALSE)</f>
        <v>FORTALECIMIENTO DE LA PARTICIPACIÓN CIUDADANA EN EL MUNICIPIO DE BUCARAMANGA</v>
      </c>
      <c r="E453" s="13" t="s">
        <v>1240</v>
      </c>
      <c r="F453" s="15" t="s">
        <v>22</v>
      </c>
      <c r="G453" s="22" t="s">
        <v>23</v>
      </c>
      <c r="H453" s="21" t="s">
        <v>23</v>
      </c>
      <c r="I453" s="13" t="s">
        <v>901</v>
      </c>
      <c r="J453" s="13" t="s">
        <v>1130</v>
      </c>
      <c r="K453" s="16">
        <v>45040</v>
      </c>
      <c r="L453" s="17">
        <v>105875</v>
      </c>
      <c r="M453" s="17">
        <v>105875</v>
      </c>
      <c r="N453" s="18">
        <v>105875</v>
      </c>
      <c r="O453" s="15" t="s">
        <v>23</v>
      </c>
      <c r="Q453" s="13">
        <v>4647</v>
      </c>
      <c r="R453" s="13" t="s">
        <v>134</v>
      </c>
      <c r="S453" s="13" t="s">
        <v>902</v>
      </c>
      <c r="T453" s="13" t="s">
        <v>16</v>
      </c>
      <c r="U453" s="17">
        <f t="shared" si="15"/>
        <v>0</v>
      </c>
    </row>
    <row r="454" spans="1:21" x14ac:dyDescent="0.3">
      <c r="A454" s="13">
        <v>115</v>
      </c>
      <c r="B454" s="13" t="str">
        <f>+VLOOKUP(A454,'[1]PA 2023'!$A$8:$E$84,5)</f>
        <v>Garantizar y mantener la atención integral en procesos de habilitación y rehabilitación a 250 niñas, niños y adolescentes con discapacidad del sector urbano y rural en extrema vulnerabilidad.</v>
      </c>
      <c r="C454" s="14">
        <v>2020680010121</v>
      </c>
      <c r="D454" s="14" t="str">
        <f>+VLOOKUP(C454,'[1]PA 2023'!$G$8:$H$84,2,FALSE)</f>
        <v>APOYO A LA OPERATIVIDAD DE LOS PROGRAMAS DE ATENCIÓN INTEGRAL A LAS PERSONAS CON DISCAPACIDAD. FAMILIARES Y/O CUIDADORES DEL MUNICIPIO DE BUCARAMANGA</v>
      </c>
      <c r="E454" s="13" t="s">
        <v>189</v>
      </c>
      <c r="F454" s="15">
        <v>116</v>
      </c>
      <c r="G454" s="22" t="s">
        <v>177</v>
      </c>
      <c r="H454" s="21" t="s">
        <v>178</v>
      </c>
      <c r="I454" s="13" t="s">
        <v>190</v>
      </c>
      <c r="J454" s="13" t="s">
        <v>191</v>
      </c>
      <c r="K454" s="16">
        <v>45041</v>
      </c>
      <c r="L454" s="17">
        <v>-1017782.77</v>
      </c>
      <c r="M454" s="17">
        <v>-1017782.77</v>
      </c>
      <c r="N454" s="18">
        <v>0</v>
      </c>
      <c r="O454" s="22" t="s">
        <v>192</v>
      </c>
      <c r="Q454" s="13">
        <v>1377</v>
      </c>
      <c r="R454" s="23" t="s">
        <v>193</v>
      </c>
      <c r="S454" s="13" t="s">
        <v>194</v>
      </c>
      <c r="T454" s="13" t="s">
        <v>16</v>
      </c>
      <c r="U454" s="26">
        <v>0</v>
      </c>
    </row>
    <row r="455" spans="1:21" x14ac:dyDescent="0.3">
      <c r="A455" s="13">
        <v>115</v>
      </c>
      <c r="B455" s="13" t="str">
        <f>+VLOOKUP(A455,'[1]PA 2023'!$A$8:$E$84,5)</f>
        <v>Garantizar y mantener la atención integral en procesos de habilitación y rehabilitación a 250 niñas, niños y adolescentes con discapacidad del sector urbano y rural en extrema vulnerabilidad.</v>
      </c>
      <c r="C455" s="14">
        <v>2020680010121</v>
      </c>
      <c r="D455" s="14" t="str">
        <f>+VLOOKUP(C455,'[1]PA 2023'!$G$8:$H$84,2,FALSE)</f>
        <v>APOYO A LA OPERATIVIDAD DE LOS PROGRAMAS DE ATENCIÓN INTEGRAL A LAS PERSONAS CON DISCAPACIDAD. FAMILIARES Y/O CUIDADORES DEL MUNICIPIO DE BUCARAMANGA</v>
      </c>
      <c r="E455" s="13" t="s">
        <v>199</v>
      </c>
      <c r="F455" s="15">
        <v>108</v>
      </c>
      <c r="G455" s="22" t="s">
        <v>177</v>
      </c>
      <c r="H455" s="21" t="s">
        <v>178</v>
      </c>
      <c r="I455" s="13" t="s">
        <v>190</v>
      </c>
      <c r="J455" s="13" t="s">
        <v>191</v>
      </c>
      <c r="K455" s="16">
        <v>45041</v>
      </c>
      <c r="L455" s="17">
        <v>-530000</v>
      </c>
      <c r="M455" s="17">
        <v>-530000</v>
      </c>
      <c r="N455" s="18">
        <v>0</v>
      </c>
      <c r="O455" s="22" t="s">
        <v>200</v>
      </c>
      <c r="Q455" s="13">
        <v>1430</v>
      </c>
      <c r="R455" s="23" t="s">
        <v>193</v>
      </c>
      <c r="S455" s="13" t="s">
        <v>194</v>
      </c>
      <c r="T455" s="13" t="s">
        <v>16</v>
      </c>
      <c r="U455" s="26">
        <v>0</v>
      </c>
    </row>
    <row r="456" spans="1:21" x14ac:dyDescent="0.3">
      <c r="A456" s="13">
        <v>96</v>
      </c>
      <c r="B456" s="13" t="str">
        <f>+VLOOKUP(A456,'[1]PA 2023'!$A$8:$E$84,5)</f>
        <v>Formular e implementar 1 estrategia que promueva la democratización familiar apoyada en el componente de bienestar comunitario del programa Familias en Acción con impacto en barrios priorizados por NBI.</v>
      </c>
      <c r="C456" s="14">
        <v>2020680010072</v>
      </c>
      <c r="D456" s="14" t="str">
        <f>+VLOOKUP(C456,'[1]PA 2023'!$G$8:$H$84,2,FALSE)</f>
        <v>APOYO A LA OPERATIVIDAD DEL PROGRAMA NACIONAL MÁS FAMILIAS EN ACCIÓN EN EL MUNICIPIO DE BUCARAMANGA</v>
      </c>
      <c r="E456" s="13" t="s">
        <v>1241</v>
      </c>
      <c r="F456" s="15">
        <v>1896</v>
      </c>
      <c r="G456" s="21" t="s">
        <v>43</v>
      </c>
      <c r="H456" s="21" t="s">
        <v>36</v>
      </c>
      <c r="I456" s="13" t="s">
        <v>1242</v>
      </c>
      <c r="J456" s="13" t="s">
        <v>472</v>
      </c>
      <c r="K456" s="16">
        <v>45041</v>
      </c>
      <c r="L456" s="17">
        <v>4000000</v>
      </c>
      <c r="M456" s="17">
        <v>4000000</v>
      </c>
      <c r="N456" s="18">
        <f>600000+3000000+400000</f>
        <v>4000000</v>
      </c>
      <c r="O456" s="22" t="s">
        <v>1243</v>
      </c>
      <c r="Q456" s="13">
        <v>4673</v>
      </c>
      <c r="R456" s="13" t="s">
        <v>473</v>
      </c>
      <c r="S456" s="13" t="s">
        <v>1244</v>
      </c>
      <c r="T456" s="13" t="s">
        <v>16</v>
      </c>
      <c r="U456" s="17">
        <f>+M456-N456</f>
        <v>0</v>
      </c>
    </row>
    <row r="457" spans="1:21" x14ac:dyDescent="0.3">
      <c r="A457" s="13">
        <v>113</v>
      </c>
      <c r="B457" s="13" t="str">
        <f>+VLOOKUP(A457,'[1]PA 2023'!$A$8:$E$84,5)</f>
        <v>Formular e implementar 1 política pública para habitante de calle.</v>
      </c>
      <c r="C457" s="14">
        <v>2020680010050</v>
      </c>
      <c r="D457" s="14" t="str">
        <f>+VLOOKUP(C457,'[1]PA 2023'!$G$8:$H$84,2,FALSE)</f>
        <v>DESARROLLO DE ACCIONES ENCAMINADAS A GENERAR ATENCIÓN INTEGRAL HACIA LA POBLACIÓN HABITANTES EN SITUACIÓN DE CALLE DEL MUNICIPIO DE BUCARAMANGA</v>
      </c>
      <c r="E457" s="13" t="s">
        <v>960</v>
      </c>
      <c r="F457" s="15">
        <v>1628</v>
      </c>
      <c r="G457" s="21" t="s">
        <v>43</v>
      </c>
      <c r="H457" s="21" t="s">
        <v>36</v>
      </c>
      <c r="I457" s="13" t="s">
        <v>961</v>
      </c>
      <c r="J457" s="13" t="s">
        <v>768</v>
      </c>
      <c r="K457" s="16">
        <v>45042</v>
      </c>
      <c r="L457" s="17">
        <v>-4200000</v>
      </c>
      <c r="M457" s="17">
        <v>-4200000</v>
      </c>
      <c r="N457" s="18">
        <v>0</v>
      </c>
      <c r="O457" s="22" t="s">
        <v>962</v>
      </c>
      <c r="Q457" s="13">
        <v>2852</v>
      </c>
      <c r="R457" s="23" t="s">
        <v>770</v>
      </c>
      <c r="S457" s="13" t="s">
        <v>963</v>
      </c>
      <c r="T457" s="13" t="s">
        <v>16</v>
      </c>
      <c r="U457" s="26">
        <v>0</v>
      </c>
    </row>
    <row r="458" spans="1:21" x14ac:dyDescent="0.3">
      <c r="A458" s="13">
        <v>78</v>
      </c>
      <c r="B458" s="13" t="str">
        <f>+VLOOKUP(A458,'[1]PA 2023'!$A$8:$E$84,5)</f>
        <v>Formular e implementar 1 ruta de atención integral para niños, niñas, adolescentes refugiados y migrantes y sus familias.</v>
      </c>
      <c r="C458" s="14">
        <v>2021680010003</v>
      </c>
      <c r="D458" s="14" t="str">
        <f>+VLOOKUP(C458,'[1]PA 2023'!$G$8:$H$84,2,FALSE)</f>
        <v>IMPLEMENTACIÓN DE ESTRATEGIAS PSICOPEDAGÓGICAS PARA LA DISMINUCIÓN DE FACTORES DE RIESGO EN NIÑOS, NIÑAS Y ADOLESCENTES EN EL MUNICIPIO DE BUCARAMANGA</v>
      </c>
      <c r="E458" s="13" t="s">
        <v>1245</v>
      </c>
      <c r="F458" s="15">
        <v>1899</v>
      </c>
      <c r="G458" s="21" t="s">
        <v>43</v>
      </c>
      <c r="H458" s="21" t="s">
        <v>36</v>
      </c>
      <c r="I458" s="13" t="s">
        <v>1246</v>
      </c>
      <c r="J458" s="13" t="s">
        <v>212</v>
      </c>
      <c r="K458" s="16">
        <v>45042</v>
      </c>
      <c r="L458" s="17">
        <v>4266666.67</v>
      </c>
      <c r="M458" s="17">
        <v>4266666.67</v>
      </c>
      <c r="N458" s="18">
        <f>533333.33+3200000+533333.34</f>
        <v>4266666.67</v>
      </c>
      <c r="O458" s="22" t="s">
        <v>1247</v>
      </c>
      <c r="Q458" s="13">
        <v>4738</v>
      </c>
      <c r="R458" s="13" t="s">
        <v>164</v>
      </c>
      <c r="S458" s="13" t="s">
        <v>1248</v>
      </c>
      <c r="T458" s="13" t="s">
        <v>16</v>
      </c>
      <c r="U458" s="17">
        <f t="shared" ref="U458:U468" si="16">+M458-N458</f>
        <v>0</v>
      </c>
    </row>
    <row r="459" spans="1:21" x14ac:dyDescent="0.3">
      <c r="A459" s="13">
        <v>283</v>
      </c>
      <c r="B459" s="13" t="str">
        <f>+VLOOKUP(A459,'[1]PA 2023'!$A$8:$E$84,5)</f>
        <v>Formular e implementar 1 estrategia que fortalezca la democracia participativa (Ley 1757 de 2015).</v>
      </c>
      <c r="C459" s="14">
        <v>2022680010029</v>
      </c>
      <c r="D459" s="14" t="str">
        <f>+VLOOKUP(C459,'[1]PA 2023'!$G$8:$H$84,2,FALSE)</f>
        <v>FORTALECIMIENTO DE LA PARTICIPACIÓN CIUDADANA EN EL MUNICIPIO DE BUCARAMANGA</v>
      </c>
      <c r="E459" s="13" t="s">
        <v>733</v>
      </c>
      <c r="F459" s="15">
        <v>1926</v>
      </c>
      <c r="G459" s="21" t="s">
        <v>43</v>
      </c>
      <c r="H459" s="21" t="s">
        <v>36</v>
      </c>
      <c r="I459" s="13" t="s">
        <v>1249</v>
      </c>
      <c r="J459" s="13" t="s">
        <v>468</v>
      </c>
      <c r="K459" s="16">
        <v>45043</v>
      </c>
      <c r="L459" s="17">
        <v>3500000</v>
      </c>
      <c r="M459" s="17">
        <v>3500000</v>
      </c>
      <c r="N459" s="18">
        <f>400000+100000+3000000</f>
        <v>3500000</v>
      </c>
      <c r="O459" s="22" t="s">
        <v>1250</v>
      </c>
      <c r="Q459" s="13">
        <v>4781</v>
      </c>
      <c r="R459" s="13" t="s">
        <v>134</v>
      </c>
      <c r="S459" s="13" t="s">
        <v>1251</v>
      </c>
      <c r="T459" s="13" t="s">
        <v>16</v>
      </c>
      <c r="U459" s="17">
        <f t="shared" si="16"/>
        <v>0</v>
      </c>
    </row>
    <row r="460" spans="1:21" x14ac:dyDescent="0.3">
      <c r="A460" s="13">
        <v>93</v>
      </c>
      <c r="B460" s="13" t="str">
        <f>+VLOOKUP(A460,'[1]PA 2023'!$A$8:$E$84,5)</f>
        <v>Mantener en funcionamiento los 3 Centros Vida con la prestacion de servicios integrales y/o dotacion de los mismos cumpliendo con la oferta institucional.</v>
      </c>
      <c r="C460" s="14">
        <v>2020680010040</v>
      </c>
      <c r="D460" s="14" t="str">
        <f>+VLOOKUP(C460,'[1]PA 2023'!$G$8:$H$84,2,FALSE)</f>
        <v>IMPLEMENTACIÓN DE ACCIONES TENDIENTES A MEJORAR LAS CONDICIONES DE LOS ADULTOS MAYORES DEL MUNICIPIO DE BUCARAMANGA</v>
      </c>
      <c r="E460" s="13" t="s">
        <v>1252</v>
      </c>
      <c r="F460" s="15" t="s">
        <v>22</v>
      </c>
      <c r="G460" s="22" t="s">
        <v>23</v>
      </c>
      <c r="H460" s="21" t="s">
        <v>23</v>
      </c>
      <c r="I460" s="13" t="s">
        <v>470</v>
      </c>
      <c r="J460" s="13" t="s">
        <v>25</v>
      </c>
      <c r="K460" s="16">
        <v>45043</v>
      </c>
      <c r="L460" s="17">
        <v>579198</v>
      </c>
      <c r="M460" s="17">
        <v>579198</v>
      </c>
      <c r="N460" s="18">
        <v>579198</v>
      </c>
      <c r="O460" s="15" t="s">
        <v>23</v>
      </c>
      <c r="Q460" s="13">
        <v>4782</v>
      </c>
      <c r="R460" s="23" t="s">
        <v>26</v>
      </c>
      <c r="S460" s="13" t="s">
        <v>471</v>
      </c>
      <c r="T460" s="13" t="s">
        <v>16</v>
      </c>
      <c r="U460" s="17">
        <f t="shared" si="16"/>
        <v>0</v>
      </c>
    </row>
    <row r="461" spans="1:21" x14ac:dyDescent="0.3">
      <c r="A461" s="13">
        <v>111</v>
      </c>
      <c r="B461" s="13" t="str">
        <f>+VLOOKUP(A461,'[1]PA 2023'!$A$8:$E$84,5)</f>
        <v xml:space="preserve">Mantener la identificación, caracterización y seguimiento de la situación de cada habitante de calle atendido por la Secretaría de Desarrollo Social. </v>
      </c>
      <c r="C461" s="14">
        <v>2020680010050</v>
      </c>
      <c r="D461" s="14" t="str">
        <f>+VLOOKUP(C461,'[1]PA 2023'!$G$8:$H$84,2,FALSE)</f>
        <v>DESARROLLO DE ACCIONES ENCAMINADAS A GENERAR ATENCIÓN INTEGRAL HACIA LA POBLACIÓN HABITANTES EN SITUACIÓN DE CALLE DEL MUNICIPIO DE BUCARAMANGA</v>
      </c>
      <c r="E461" s="13" t="s">
        <v>1252</v>
      </c>
      <c r="F461" s="15" t="s">
        <v>22</v>
      </c>
      <c r="G461" s="22" t="s">
        <v>23</v>
      </c>
      <c r="H461" s="21" t="s">
        <v>23</v>
      </c>
      <c r="I461" s="13" t="s">
        <v>470</v>
      </c>
      <c r="J461" s="13" t="s">
        <v>768</v>
      </c>
      <c r="K461" s="16">
        <v>45043</v>
      </c>
      <c r="L461" s="17">
        <v>203801</v>
      </c>
      <c r="M461" s="17">
        <v>203801</v>
      </c>
      <c r="N461" s="18">
        <v>203801</v>
      </c>
      <c r="O461" s="15" t="s">
        <v>23</v>
      </c>
      <c r="Q461" s="13">
        <v>4782</v>
      </c>
      <c r="R461" s="23" t="s">
        <v>770</v>
      </c>
      <c r="S461" s="13" t="s">
        <v>471</v>
      </c>
      <c r="T461" s="13" t="s">
        <v>16</v>
      </c>
      <c r="U461" s="17">
        <f t="shared" si="16"/>
        <v>0</v>
      </c>
    </row>
    <row r="462" spans="1:21" x14ac:dyDescent="0.3">
      <c r="A462" s="13">
        <v>105</v>
      </c>
      <c r="B462" s="13" t="str">
        <f>+VLOOKUP(A462,'[1]PA 2023'!$A$8:$E$84,5)</f>
        <v>Mantener el Centro Integral de la Mujer a fin de garantizar el fortalecimiento de los procesos de atención y empoderamiento femenino.</v>
      </c>
      <c r="C462" s="14">
        <v>2020680010106</v>
      </c>
      <c r="D462" s="14" t="str">
        <f>+VLOOKUP(C462,'[1]PA 2023'!$G$8:$H$84,2,FALSE)</f>
        <v>FORTALECIMIENTO DE ESPACIOS DE PARTICIPACIÓN Y PREVENCIÓN DE VIOLENCIAS EN MUJERES Y POBLACIÓN CON ORIENTACIONES SEXUALES E IDENTIDADES DE GÉNERO DIVERSAS DEL MUNICIPIO DE BUCARAMANGA</v>
      </c>
      <c r="E462" s="13" t="s">
        <v>1252</v>
      </c>
      <c r="F462" s="15" t="s">
        <v>22</v>
      </c>
      <c r="G462" s="22" t="s">
        <v>23</v>
      </c>
      <c r="H462" s="21" t="s">
        <v>23</v>
      </c>
      <c r="I462" s="13" t="s">
        <v>470</v>
      </c>
      <c r="J462" s="13" t="s">
        <v>378</v>
      </c>
      <c r="K462" s="16">
        <v>45043</v>
      </c>
      <c r="L462" s="17">
        <v>203801</v>
      </c>
      <c r="M462" s="17">
        <v>203801</v>
      </c>
      <c r="N462" s="18">
        <v>203801</v>
      </c>
      <c r="O462" s="15" t="s">
        <v>23</v>
      </c>
      <c r="Q462" s="13">
        <v>4782</v>
      </c>
      <c r="R462" s="23" t="s">
        <v>380</v>
      </c>
      <c r="S462" s="13" t="s">
        <v>471</v>
      </c>
      <c r="T462" s="13" t="s">
        <v>16</v>
      </c>
      <c r="U462" s="17">
        <f t="shared" si="16"/>
        <v>0</v>
      </c>
    </row>
    <row r="463" spans="1:21" x14ac:dyDescent="0.3">
      <c r="A463" s="13">
        <v>68</v>
      </c>
      <c r="B463" s="13" t="str">
        <f>+VLOOKUP(A463,'[1]PA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463" s="14">
        <v>2022680010056</v>
      </c>
      <c r="D463" s="14" t="str">
        <f>+VLOOKUP(C463,'[1]PA 2023'!$G$8:$H$84,2,FALSE)</f>
        <v>APOYO EN LOS PROCESOS DE ATENCIÓN INTEGRAL DE LOS NIÑOS Y NIÑAS EN EL ESPACIO DE CUIDADO Y ALBERGUE "CASA BÚHO" EN EL MUNICIPIO DE BUCARAMANGA</v>
      </c>
      <c r="E463" s="13" t="s">
        <v>1253</v>
      </c>
      <c r="F463" s="15" t="s">
        <v>1254</v>
      </c>
      <c r="G463" s="22" t="s">
        <v>156</v>
      </c>
      <c r="H463" s="21" t="s">
        <v>1255</v>
      </c>
      <c r="I463" s="13" t="s">
        <v>1256</v>
      </c>
      <c r="J463" s="13" t="s">
        <v>1257</v>
      </c>
      <c r="K463" s="16">
        <v>45043</v>
      </c>
      <c r="L463" s="17">
        <v>41890151</v>
      </c>
      <c r="M463" s="17">
        <v>41890151</v>
      </c>
      <c r="N463" s="18">
        <f>28675160+11879977</f>
        <v>40555137</v>
      </c>
      <c r="O463" s="22" t="s">
        <v>1189</v>
      </c>
      <c r="Q463" s="13">
        <v>4810</v>
      </c>
      <c r="R463" s="23" t="s">
        <v>971</v>
      </c>
      <c r="S463" s="13" t="s">
        <v>1258</v>
      </c>
      <c r="T463" s="13" t="s">
        <v>16</v>
      </c>
      <c r="U463" s="17">
        <f t="shared" si="16"/>
        <v>1335014</v>
      </c>
    </row>
    <row r="464" spans="1:21" x14ac:dyDescent="0.3">
      <c r="A464" s="13">
        <v>113</v>
      </c>
      <c r="B464" s="13" t="str">
        <f>+VLOOKUP(A464,'[1]PA 2023'!$A$8:$E$84,5)</f>
        <v>Formular e implementar 1 política pública para habitante de calle.</v>
      </c>
      <c r="C464" s="14">
        <v>2020680010050</v>
      </c>
      <c r="D464" s="14" t="str">
        <f>+VLOOKUP(C464,'[1]PA 2023'!$G$8:$H$84,2,FALSE)</f>
        <v>DESARROLLO DE ACCIONES ENCAMINADAS A GENERAR ATENCIÓN INTEGRAL HACIA LA POBLACIÓN HABITANTES EN SITUACIÓN DE CALLE DEL MUNICIPIO DE BUCARAMANGA</v>
      </c>
      <c r="E464" s="13" t="s">
        <v>1253</v>
      </c>
      <c r="F464" s="15" t="s">
        <v>1254</v>
      </c>
      <c r="G464" s="22" t="s">
        <v>156</v>
      </c>
      <c r="H464" s="21" t="s">
        <v>1255</v>
      </c>
      <c r="I464" s="13" t="s">
        <v>1256</v>
      </c>
      <c r="J464" s="13" t="s">
        <v>1259</v>
      </c>
      <c r="K464" s="16">
        <v>45043</v>
      </c>
      <c r="L464" s="17">
        <v>44000000</v>
      </c>
      <c r="M464" s="17">
        <v>44000000</v>
      </c>
      <c r="N464" s="18">
        <v>44000000</v>
      </c>
      <c r="O464" s="22" t="s">
        <v>1189</v>
      </c>
      <c r="Q464" s="13">
        <v>4810</v>
      </c>
      <c r="R464" s="23" t="s">
        <v>1260</v>
      </c>
      <c r="S464" s="13" t="s">
        <v>1258</v>
      </c>
      <c r="T464" s="13" t="s">
        <v>16</v>
      </c>
      <c r="U464" s="17">
        <f t="shared" si="16"/>
        <v>0</v>
      </c>
    </row>
    <row r="465" spans="1:21" x14ac:dyDescent="0.3">
      <c r="A465" s="13">
        <v>102</v>
      </c>
      <c r="B465" s="13" t="str">
        <f>+VLOOKUP(A465,'[1]PA 2023'!$A$8:$E$84,5)</f>
        <v>Mantener y fortalecer la ruta de atención a víctimas de acoso sexual y violencia de género a través redes comunitarias de prevención en zonas priorizadas del área rural y urbana de la ciudad y consolidación de alianzas con otras entidades.</v>
      </c>
      <c r="C465" s="14">
        <v>2020680010106</v>
      </c>
      <c r="D465" s="14" t="str">
        <f>+VLOOKUP(C465,'[1]PA 2023'!$G$8:$H$84,2,FALSE)</f>
        <v>FORTALECIMIENTO DE ESPACIOS DE PARTICIPACIÓN Y PREVENCIÓN DE VIOLENCIAS EN MUJERES Y POBLACIÓN CON ORIENTACIONES SEXUALES E IDENTIDADES DE GÉNERO DIVERSAS DEL MUNICIPIO DE BUCARAMANGA</v>
      </c>
      <c r="E465" s="13" t="s">
        <v>1261</v>
      </c>
      <c r="F465" s="15">
        <v>1925</v>
      </c>
      <c r="G465" s="21" t="s">
        <v>43</v>
      </c>
      <c r="H465" s="21" t="s">
        <v>36</v>
      </c>
      <c r="I465" s="13" t="s">
        <v>1262</v>
      </c>
      <c r="J465" s="13" t="s">
        <v>378</v>
      </c>
      <c r="K465" s="16">
        <v>45043</v>
      </c>
      <c r="L465" s="17">
        <v>3850000</v>
      </c>
      <c r="M465" s="17">
        <v>3850000</v>
      </c>
      <c r="N465" s="18">
        <f>440000+3300000+110000</f>
        <v>3850000</v>
      </c>
      <c r="O465" s="22" t="s">
        <v>1263</v>
      </c>
      <c r="Q465" s="13">
        <v>4811</v>
      </c>
      <c r="R465" s="13" t="s">
        <v>380</v>
      </c>
      <c r="S465" s="13" t="s">
        <v>1264</v>
      </c>
      <c r="T465" s="13" t="s">
        <v>16</v>
      </c>
      <c r="U465" s="17">
        <f t="shared" si="16"/>
        <v>0</v>
      </c>
    </row>
    <row r="466" spans="1:21" x14ac:dyDescent="0.3">
      <c r="A466" s="13">
        <v>78</v>
      </c>
      <c r="B466" s="13" t="str">
        <f>+VLOOKUP(A466,'[1]PA 2023'!$A$8:$E$84,5)</f>
        <v>Formular e implementar 1 ruta de atención integral para niños, niñas, adolescentes refugiados y migrantes y sus familias.</v>
      </c>
      <c r="C466" s="14">
        <v>2022680010056</v>
      </c>
      <c r="D466" s="14" t="str">
        <f>+VLOOKUP(C466,'[1]PA 2023'!$G$8:$H$84,2,FALSE)</f>
        <v>APOYO EN LOS PROCESOS DE ATENCIÓN INTEGRAL DE LOS NIÑOS Y NIÑAS EN EL ESPACIO DE CUIDADO Y ALBERGUE "CASA BÚHO" EN EL MUNICIPIO DE BUCARAMANGA</v>
      </c>
      <c r="E466" s="13" t="s">
        <v>1265</v>
      </c>
      <c r="F466" s="15" t="s">
        <v>22</v>
      </c>
      <c r="G466" s="22" t="s">
        <v>23</v>
      </c>
      <c r="H466" s="21" t="s">
        <v>23</v>
      </c>
      <c r="I466" s="13" t="s">
        <v>260</v>
      </c>
      <c r="J466" s="13" t="s">
        <v>970</v>
      </c>
      <c r="K466" s="16">
        <v>45043</v>
      </c>
      <c r="L466" s="17">
        <v>945197</v>
      </c>
      <c r="M466" s="17">
        <v>945197</v>
      </c>
      <c r="N466" s="18">
        <v>945197</v>
      </c>
      <c r="O466" s="15" t="s">
        <v>23</v>
      </c>
      <c r="Q466" s="13">
        <v>4842</v>
      </c>
      <c r="R466" s="13" t="s">
        <v>971</v>
      </c>
      <c r="S466" s="13" t="s">
        <v>261</v>
      </c>
      <c r="T466" s="13" t="s">
        <v>16</v>
      </c>
      <c r="U466" s="17">
        <f t="shared" si="16"/>
        <v>0</v>
      </c>
    </row>
    <row r="467" spans="1:21" x14ac:dyDescent="0.3">
      <c r="A467" s="13">
        <v>93</v>
      </c>
      <c r="B467" s="13" t="str">
        <f>+VLOOKUP(A467,'[1]PA 2023'!$A$8:$E$84,5)</f>
        <v>Mantener en funcionamiento los 3 Centros Vida con la prestacion de servicios integrales y/o dotacion de los mismos cumpliendo con la oferta institucional.</v>
      </c>
      <c r="C467" s="14">
        <v>2020680010040</v>
      </c>
      <c r="D467" s="14" t="str">
        <f>+VLOOKUP(C467,'[1]PA 2023'!$G$8:$H$84,2,FALSE)</f>
        <v>IMPLEMENTACIÓN DE ACCIONES TENDIENTES A MEJORAR LAS CONDICIONES DE LOS ADULTOS MAYORES DEL MUNICIPIO DE BUCARAMANGA</v>
      </c>
      <c r="E467" s="13" t="s">
        <v>1266</v>
      </c>
      <c r="F467" s="15" t="s">
        <v>22</v>
      </c>
      <c r="G467" s="22" t="s">
        <v>23</v>
      </c>
      <c r="H467" s="21" t="s">
        <v>23</v>
      </c>
      <c r="I467" s="13" t="s">
        <v>260</v>
      </c>
      <c r="J467" s="13" t="s">
        <v>25</v>
      </c>
      <c r="K467" s="16">
        <v>45043</v>
      </c>
      <c r="L467" s="17">
        <v>3011298</v>
      </c>
      <c r="M467" s="17">
        <v>3011298</v>
      </c>
      <c r="N467" s="18">
        <v>3011298</v>
      </c>
      <c r="O467" s="15" t="s">
        <v>23</v>
      </c>
      <c r="Q467" s="13">
        <v>4843</v>
      </c>
      <c r="R467" s="13" t="s">
        <v>26</v>
      </c>
      <c r="S467" s="13" t="s">
        <v>261</v>
      </c>
      <c r="T467" s="13" t="s">
        <v>16</v>
      </c>
      <c r="U467" s="17">
        <f t="shared" si="16"/>
        <v>0</v>
      </c>
    </row>
    <row r="468" spans="1:21" x14ac:dyDescent="0.3">
      <c r="A468" s="13">
        <v>285</v>
      </c>
      <c r="B468" s="13" t="str">
        <f>+VLOOKUP(A468,'[1]PA 2023'!$A$8:$E$84,5)</f>
        <v>Mantener en funcionamiento el 100% de los salones comunales que hacen parte del programa Ágoras.</v>
      </c>
      <c r="C468" s="14">
        <v>2022680010029</v>
      </c>
      <c r="D468" s="14" t="str">
        <f>+VLOOKUP(C468,'[1]PA 2023'!$G$8:$H$84,2,FALSE)</f>
        <v>FORTALECIMIENTO DE LA PARTICIPACIÓN CIUDADANA EN EL MUNICIPIO DE BUCARAMANGA</v>
      </c>
      <c r="E468" s="13" t="s">
        <v>1267</v>
      </c>
      <c r="F468" s="15" t="s">
        <v>22</v>
      </c>
      <c r="G468" s="22" t="s">
        <v>23</v>
      </c>
      <c r="H468" s="21" t="s">
        <v>23</v>
      </c>
      <c r="I468" s="13" t="s">
        <v>260</v>
      </c>
      <c r="J468" s="13" t="s">
        <v>1130</v>
      </c>
      <c r="K468" s="16">
        <v>45043</v>
      </c>
      <c r="L468" s="17">
        <v>290120</v>
      </c>
      <c r="M468" s="17">
        <v>290120</v>
      </c>
      <c r="N468" s="18">
        <v>290120</v>
      </c>
      <c r="O468" s="15" t="s">
        <v>23</v>
      </c>
      <c r="Q468" s="13">
        <v>4844</v>
      </c>
      <c r="R468" s="13" t="s">
        <v>134</v>
      </c>
      <c r="S468" s="13" t="s">
        <v>261</v>
      </c>
      <c r="T468" s="13" t="s">
        <v>16</v>
      </c>
      <c r="U468" s="17">
        <f t="shared" si="16"/>
        <v>0</v>
      </c>
    </row>
    <row r="469" spans="1:21" x14ac:dyDescent="0.3">
      <c r="A469" s="13">
        <v>77</v>
      </c>
      <c r="B469" s="13" t="str">
        <f>+VLOOKUP(A469,'[1]PA 2023'!$A$8:$E$84,5)</f>
        <v>Realizar 4 jornadas de conmemoración del día de la niñez.</v>
      </c>
      <c r="C469" s="14">
        <v>2021680010003</v>
      </c>
      <c r="D469" s="14" t="str">
        <f>+VLOOKUP(C469,'[1]PA 2023'!$G$8:$H$84,2,FALSE)</f>
        <v>IMPLEMENTACIÓN DE ESTRATEGIAS PSICOPEDAGÓGICAS PARA LA DISMINUCIÓN DE FACTORES DE RIESGO EN NIÑOS, NIÑAS Y ADOLESCENTES EN EL MUNICIPIO DE BUCARAMANGA</v>
      </c>
      <c r="E469" s="13" t="s">
        <v>1179</v>
      </c>
      <c r="F469" s="15">
        <v>63</v>
      </c>
      <c r="G469" s="22" t="s">
        <v>1180</v>
      </c>
      <c r="H469" s="21" t="s">
        <v>1165</v>
      </c>
      <c r="I469" s="13" t="s">
        <v>1181</v>
      </c>
      <c r="J469" s="13" t="s">
        <v>1182</v>
      </c>
      <c r="K469" s="16">
        <v>45044</v>
      </c>
      <c r="L469" s="17">
        <v>5284552</v>
      </c>
      <c r="M469" s="17">
        <v>5284552</v>
      </c>
      <c r="N469" s="18">
        <v>5281458</v>
      </c>
      <c r="O469" s="22" t="s">
        <v>1183</v>
      </c>
      <c r="Q469" s="13">
        <v>4845</v>
      </c>
      <c r="R469" s="23" t="s">
        <v>164</v>
      </c>
      <c r="S469" s="13" t="s">
        <v>1184</v>
      </c>
      <c r="T469" s="13" t="s">
        <v>16</v>
      </c>
      <c r="U469" s="17">
        <f>+M469-N469+M1152</f>
        <v>3094</v>
      </c>
    </row>
    <row r="470" spans="1:21" x14ac:dyDescent="0.3">
      <c r="A470" s="13">
        <v>206</v>
      </c>
      <c r="B470" s="13" t="str">
        <f>+VLOOKUP(A470,'[1]PA 2023'!$A$8:$E$84,5)</f>
        <v>Mantener el Plan General de Asistencia Técnica.</v>
      </c>
      <c r="C470" s="14">
        <v>2020680010123</v>
      </c>
      <c r="D470" s="14" t="str">
        <f>+VLOOKUP(C470,'[1]PA 2023'!$G$8:$H$84,2,FALSE)</f>
        <v>FORTALECIMIENTO DE LA PRODUCTIVIDAD Y COMPETITIVIDAD AGROPECUARIA EN EL SECTOR RURAL DEL MUNICIPIO DE BUCARAMANGA</v>
      </c>
      <c r="E470" s="13" t="s">
        <v>1268</v>
      </c>
      <c r="F470" s="15">
        <v>1933</v>
      </c>
      <c r="G470" s="21" t="s">
        <v>43</v>
      </c>
      <c r="H470" s="21" t="s">
        <v>36</v>
      </c>
      <c r="I470" s="13" t="s">
        <v>1269</v>
      </c>
      <c r="J470" s="13" t="s">
        <v>665</v>
      </c>
      <c r="K470" s="16">
        <v>45044</v>
      </c>
      <c r="L470" s="17">
        <v>2916666.67</v>
      </c>
      <c r="M470" s="17">
        <v>2916666.67</v>
      </c>
      <c r="N470" s="18">
        <f>250000+2500000+166666.67</f>
        <v>2916666.67</v>
      </c>
      <c r="O470" s="22" t="s">
        <v>1270</v>
      </c>
      <c r="Q470" s="13">
        <v>4860</v>
      </c>
      <c r="R470" s="13" t="s">
        <v>667</v>
      </c>
      <c r="S470" s="13" t="s">
        <v>1271</v>
      </c>
      <c r="T470" s="13" t="s">
        <v>16</v>
      </c>
      <c r="U470" s="17">
        <f t="shared" ref="U470:U480" si="17">+M470-N470</f>
        <v>0</v>
      </c>
    </row>
    <row r="471" spans="1:21" x14ac:dyDescent="0.3">
      <c r="A471" s="13">
        <v>98</v>
      </c>
      <c r="B471" s="13" t="str">
        <f>+VLOOKUP(A471,'[1]PA 2023'!$A$8:$E$84,5)</f>
        <v>Mantener el 100% del apoyo logístico a las familias beneficiadas del programa Familias en Acción.</v>
      </c>
      <c r="C471" s="14">
        <v>2020680010072</v>
      </c>
      <c r="D471" s="14" t="str">
        <f>+VLOOKUP(C471,'[1]PA 2023'!$G$8:$H$84,2,FALSE)</f>
        <v>APOYO A LA OPERATIVIDAD DEL PROGRAMA NACIONAL MÁS FAMILIAS EN ACCIÓN EN EL MUNICIPIO DE BUCARAMANGA</v>
      </c>
      <c r="E471" s="13" t="s">
        <v>1272</v>
      </c>
      <c r="F471" s="15" t="s">
        <v>22</v>
      </c>
      <c r="G471" s="22" t="s">
        <v>23</v>
      </c>
      <c r="H471" s="21" t="s">
        <v>23</v>
      </c>
      <c r="I471" s="13" t="s">
        <v>470</v>
      </c>
      <c r="J471" s="13" t="s">
        <v>472</v>
      </c>
      <c r="K471" s="16">
        <v>45049</v>
      </c>
      <c r="L471" s="17">
        <v>70872.960000000006</v>
      </c>
      <c r="M471" s="17">
        <v>70872.960000000006</v>
      </c>
      <c r="N471" s="18">
        <v>70872.960000000006</v>
      </c>
      <c r="O471" s="15" t="s">
        <v>23</v>
      </c>
      <c r="Q471" s="13">
        <v>4877</v>
      </c>
      <c r="R471" s="23" t="s">
        <v>473</v>
      </c>
      <c r="S471" s="13" t="s">
        <v>471</v>
      </c>
      <c r="T471" s="13" t="s">
        <v>16</v>
      </c>
      <c r="U471" s="17">
        <f t="shared" si="17"/>
        <v>0</v>
      </c>
    </row>
    <row r="472" spans="1:21" x14ac:dyDescent="0.3">
      <c r="A472" s="13">
        <v>93</v>
      </c>
      <c r="B472" s="13" t="str">
        <f>+VLOOKUP(A472,'[1]PA 2023'!$A$8:$E$84,5)</f>
        <v>Mantener en funcionamiento los 3 Centros Vida con la prestacion de servicios integrales y/o dotacion de los mismos cumpliendo con la oferta institucional.</v>
      </c>
      <c r="C472" s="14">
        <v>2020680010040</v>
      </c>
      <c r="D472" s="14" t="str">
        <f>+VLOOKUP(C472,'[1]PA 2023'!$G$8:$H$84,2,FALSE)</f>
        <v>IMPLEMENTACIÓN DE ACCIONES TENDIENTES A MEJORAR LAS CONDICIONES DE LOS ADULTOS MAYORES DEL MUNICIPIO DE BUCARAMANGA</v>
      </c>
      <c r="E472" s="13" t="s">
        <v>1272</v>
      </c>
      <c r="F472" s="15" t="s">
        <v>22</v>
      </c>
      <c r="G472" s="22" t="s">
        <v>23</v>
      </c>
      <c r="H472" s="21" t="s">
        <v>23</v>
      </c>
      <c r="I472" s="13" t="s">
        <v>470</v>
      </c>
      <c r="J472" s="13" t="s">
        <v>25</v>
      </c>
      <c r="K472" s="16">
        <v>45049</v>
      </c>
      <c r="L472" s="17">
        <v>128953.97</v>
      </c>
      <c r="M472" s="17">
        <v>128953.97</v>
      </c>
      <c r="N472" s="18">
        <v>128953.97</v>
      </c>
      <c r="O472" s="15" t="s">
        <v>23</v>
      </c>
      <c r="Q472" s="13">
        <v>4877</v>
      </c>
      <c r="R472" s="23" t="s">
        <v>26</v>
      </c>
      <c r="S472" s="13" t="s">
        <v>471</v>
      </c>
      <c r="T472" s="13" t="s">
        <v>16</v>
      </c>
      <c r="U472" s="17">
        <f t="shared" si="17"/>
        <v>0</v>
      </c>
    </row>
    <row r="473" spans="1:21" x14ac:dyDescent="0.3">
      <c r="A473" s="13">
        <v>283</v>
      </c>
      <c r="B473" s="13" t="str">
        <f>+VLOOKUP(A473,'[1]PA 2023'!$A$8:$E$84,5)</f>
        <v>Formular e implementar 1 estrategia que fortalezca la democracia participativa (Ley 1757 de 2015).</v>
      </c>
      <c r="C473" s="14">
        <v>2022680010029</v>
      </c>
      <c r="D473" s="14" t="str">
        <f>+VLOOKUP(C473,'[1]PA 2023'!$G$8:$H$84,2,FALSE)</f>
        <v>FORTALECIMIENTO DE LA PARTICIPACIÓN CIUDADANA EN EL MUNICIPIO DE BUCARAMANGA</v>
      </c>
      <c r="E473" s="13" t="s">
        <v>1272</v>
      </c>
      <c r="F473" s="15" t="s">
        <v>22</v>
      </c>
      <c r="G473" s="22" t="s">
        <v>23</v>
      </c>
      <c r="H473" s="21" t="s">
        <v>23</v>
      </c>
      <c r="I473" s="13" t="s">
        <v>470</v>
      </c>
      <c r="J473" s="13" t="s">
        <v>468</v>
      </c>
      <c r="K473" s="16">
        <v>45049</v>
      </c>
      <c r="L473" s="17">
        <v>70872.960000000006</v>
      </c>
      <c r="M473" s="17">
        <v>70872.960000000006</v>
      </c>
      <c r="N473" s="18">
        <v>70872.960000000006</v>
      </c>
      <c r="O473" s="15" t="s">
        <v>23</v>
      </c>
      <c r="Q473" s="13">
        <v>4877</v>
      </c>
      <c r="R473" s="23" t="s">
        <v>134</v>
      </c>
      <c r="S473" s="13" t="s">
        <v>471</v>
      </c>
      <c r="T473" s="13" t="s">
        <v>16</v>
      </c>
      <c r="U473" s="17">
        <f t="shared" si="17"/>
        <v>0</v>
      </c>
    </row>
    <row r="474" spans="1:21" x14ac:dyDescent="0.3">
      <c r="A474" s="13">
        <v>285</v>
      </c>
      <c r="B474" s="13" t="str">
        <f>+VLOOKUP(A474,'[1]PA 2023'!$A$8:$E$84,5)</f>
        <v>Mantener en funcionamiento el 100% de los salones comunales que hacen parte del programa Ágoras.</v>
      </c>
      <c r="C474" s="14">
        <v>2022680010029</v>
      </c>
      <c r="D474" s="14" t="str">
        <f>+VLOOKUP(C474,'[1]PA 2023'!$G$8:$H$84,2,FALSE)</f>
        <v>FORTALECIMIENTO DE LA PARTICIPACIÓN CIUDADANA EN EL MUNICIPIO DE BUCARAMANGA</v>
      </c>
      <c r="E474" s="13" t="s">
        <v>1273</v>
      </c>
      <c r="F474" s="15" t="s">
        <v>22</v>
      </c>
      <c r="G474" s="22" t="s">
        <v>23</v>
      </c>
      <c r="H474" s="21" t="s">
        <v>23</v>
      </c>
      <c r="I474" s="13" t="s">
        <v>904</v>
      </c>
      <c r="J474" s="13" t="s">
        <v>1130</v>
      </c>
      <c r="K474" s="16">
        <v>45049</v>
      </c>
      <c r="L474" s="17">
        <v>500002</v>
      </c>
      <c r="M474" s="17">
        <v>500002</v>
      </c>
      <c r="N474" s="18">
        <v>500002</v>
      </c>
      <c r="O474" s="15" t="s">
        <v>23</v>
      </c>
      <c r="Q474" s="13">
        <v>4878</v>
      </c>
      <c r="R474" s="13" t="s">
        <v>134</v>
      </c>
      <c r="S474" s="13" t="s">
        <v>905</v>
      </c>
      <c r="T474" s="13" t="s">
        <v>16</v>
      </c>
      <c r="U474" s="17">
        <f t="shared" si="17"/>
        <v>0</v>
      </c>
    </row>
    <row r="475" spans="1:21" x14ac:dyDescent="0.3">
      <c r="A475" s="13">
        <v>285</v>
      </c>
      <c r="B475" s="13" t="str">
        <f>+VLOOKUP(A475,'[1]PA 2023'!$A$8:$E$84,5)</f>
        <v>Mantener en funcionamiento el 100% de los salones comunales que hacen parte del programa Ágoras.</v>
      </c>
      <c r="C475" s="14">
        <v>2022680010029</v>
      </c>
      <c r="D475" s="14" t="str">
        <f>+VLOOKUP(C475,'[1]PA 2023'!$G$8:$H$84,2,FALSE)</f>
        <v>FORTALECIMIENTO DE LA PARTICIPACIÓN CIUDADANA EN EL MUNICIPIO DE BUCARAMANGA</v>
      </c>
      <c r="E475" s="13" t="s">
        <v>1274</v>
      </c>
      <c r="F475" s="15" t="s">
        <v>22</v>
      </c>
      <c r="G475" s="22" t="s">
        <v>23</v>
      </c>
      <c r="H475" s="21" t="s">
        <v>23</v>
      </c>
      <c r="I475" s="13" t="s">
        <v>901</v>
      </c>
      <c r="J475" s="13" t="s">
        <v>1130</v>
      </c>
      <c r="K475" s="16">
        <v>45051</v>
      </c>
      <c r="L475" s="17">
        <v>50751.17</v>
      </c>
      <c r="M475" s="17">
        <v>50751.17</v>
      </c>
      <c r="N475" s="18">
        <v>50751.17</v>
      </c>
      <c r="O475" s="15" t="s">
        <v>23</v>
      </c>
      <c r="Q475" s="13">
        <v>4964</v>
      </c>
      <c r="R475" s="13" t="s">
        <v>134</v>
      </c>
      <c r="S475" s="13" t="s">
        <v>902</v>
      </c>
      <c r="T475" s="13" t="s">
        <v>16</v>
      </c>
      <c r="U475" s="17">
        <f t="shared" si="17"/>
        <v>0</v>
      </c>
    </row>
    <row r="476" spans="1:21" x14ac:dyDescent="0.3">
      <c r="A476" s="13">
        <v>283</v>
      </c>
      <c r="B476" s="13" t="str">
        <f>+VLOOKUP(A476,'[1]PA 2023'!$A$8:$E$84,5)</f>
        <v>Formular e implementar 1 estrategia que fortalezca la democracia participativa (Ley 1757 de 2015).</v>
      </c>
      <c r="C476" s="14">
        <v>2022680010035</v>
      </c>
      <c r="D476" s="14" t="str">
        <f>+VLOOKUP(C476,'[1]PA 2023'!$G$8:$H$84,2,FALSE)</f>
        <v>FORTALECIMIENTO DE LA PARTICIPACIÓN E INCIDENCIA DE LAS EXPRESIONES E INSTITUCIONES DEMOCRÁTICAS JUVENILES DE LA CIUDAD DE BUCARAMANGA</v>
      </c>
      <c r="E476" s="13" t="s">
        <v>1275</v>
      </c>
      <c r="F476" s="15">
        <v>1963</v>
      </c>
      <c r="G476" s="22" t="s">
        <v>35</v>
      </c>
      <c r="H476" s="21" t="s">
        <v>36</v>
      </c>
      <c r="I476" s="13" t="s">
        <v>1276</v>
      </c>
      <c r="J476" s="13" t="s">
        <v>468</v>
      </c>
      <c r="K476" s="16">
        <v>45054</v>
      </c>
      <c r="L476" s="17">
        <v>2800000</v>
      </c>
      <c r="M476" s="17">
        <v>2800000</v>
      </c>
      <c r="N476" s="18">
        <f>1760000+1040000</f>
        <v>2800000</v>
      </c>
      <c r="O476" s="22" t="s">
        <v>1277</v>
      </c>
      <c r="Q476" s="13">
        <v>4985</v>
      </c>
      <c r="R476" s="13" t="s">
        <v>134</v>
      </c>
      <c r="S476" s="13" t="s">
        <v>1278</v>
      </c>
      <c r="T476" s="13" t="s">
        <v>16</v>
      </c>
      <c r="U476" s="17">
        <f t="shared" si="17"/>
        <v>0</v>
      </c>
    </row>
    <row r="477" spans="1:21" x14ac:dyDescent="0.3">
      <c r="A477" s="13">
        <v>112</v>
      </c>
      <c r="B477" s="13" t="str">
        <f>+VLOOKUP(A477,'[1]PA 2023'!$A$8:$E$84,5)</f>
        <v>Mantener a 284 habitantes de calle con atención integral en la cual se incluya la prestación de servicios básicos.</v>
      </c>
      <c r="C477" s="14">
        <v>2020680010050</v>
      </c>
      <c r="D477" s="14" t="str">
        <f>+VLOOKUP(C477,'[1]PA 2023'!$G$8:$H$84,2,FALSE)</f>
        <v>DESARROLLO DE ACCIONES ENCAMINADAS A GENERAR ATENCIÓN INTEGRAL HACIA LA POBLACIÓN HABITANTES EN SITUACIÓN DE CALLE DEL MUNICIPIO DE BUCARAMANGA</v>
      </c>
      <c r="E477" s="13" t="s">
        <v>1279</v>
      </c>
      <c r="F477" s="15">
        <v>94</v>
      </c>
      <c r="G477" s="22" t="s">
        <v>184</v>
      </c>
      <c r="H477" s="21" t="s">
        <v>185</v>
      </c>
      <c r="I477" s="13" t="s">
        <v>429</v>
      </c>
      <c r="J477" s="13" t="s">
        <v>180</v>
      </c>
      <c r="K477" s="16">
        <v>45054</v>
      </c>
      <c r="L477" s="17">
        <v>128162790</v>
      </c>
      <c r="M477" s="17">
        <v>128162790</v>
      </c>
      <c r="N477" s="18">
        <f>11363767.38+9768852.66+13784620.08+15892185.96</f>
        <v>50809426.079999998</v>
      </c>
      <c r="O477" s="22" t="s">
        <v>1280</v>
      </c>
      <c r="Q477" s="13">
        <v>4986</v>
      </c>
      <c r="R477" s="13" t="s">
        <v>161</v>
      </c>
      <c r="S477" s="13" t="s">
        <v>431</v>
      </c>
      <c r="T477" s="13" t="s">
        <v>16</v>
      </c>
      <c r="U477" s="17">
        <f t="shared" si="17"/>
        <v>77353363.920000002</v>
      </c>
    </row>
    <row r="478" spans="1:21" x14ac:dyDescent="0.3">
      <c r="A478" s="13">
        <v>93</v>
      </c>
      <c r="B478" s="13" t="str">
        <f>+VLOOKUP(A478,'[1]PA 2023'!$A$8:$E$84,5)</f>
        <v>Mantener en funcionamiento los 3 Centros Vida con la prestacion de servicios integrales y/o dotacion de los mismos cumpliendo con la oferta institucional.</v>
      </c>
      <c r="C478" s="14">
        <v>2020680010040</v>
      </c>
      <c r="D478" s="14" t="str">
        <f>+VLOOKUP(C478,'[1]PA 2023'!$G$8:$H$84,2,FALSE)</f>
        <v>IMPLEMENTACIÓN DE ACCIONES TENDIENTES A MEJORAR LAS CONDICIONES DE LOS ADULTOS MAYORES DEL MUNICIPIO DE BUCARAMANGA</v>
      </c>
      <c r="E478" s="13" t="s">
        <v>1281</v>
      </c>
      <c r="F478" s="15" t="s">
        <v>22</v>
      </c>
      <c r="G478" s="22" t="s">
        <v>23</v>
      </c>
      <c r="H478" s="21" t="s">
        <v>23</v>
      </c>
      <c r="I478" s="13" t="s">
        <v>29</v>
      </c>
      <c r="J478" s="13" t="s">
        <v>25</v>
      </c>
      <c r="K478" s="16">
        <v>45054</v>
      </c>
      <c r="L478" s="17">
        <v>134320</v>
      </c>
      <c r="M478" s="17">
        <v>134320</v>
      </c>
      <c r="N478" s="18">
        <v>134320</v>
      </c>
      <c r="O478" s="15" t="s">
        <v>23</v>
      </c>
      <c r="Q478" s="13">
        <v>4988</v>
      </c>
      <c r="R478" s="13" t="s">
        <v>26</v>
      </c>
      <c r="S478" s="13" t="s">
        <v>30</v>
      </c>
      <c r="T478" s="13" t="s">
        <v>16</v>
      </c>
      <c r="U478" s="17">
        <f t="shared" si="17"/>
        <v>0</v>
      </c>
    </row>
    <row r="479" spans="1:21" x14ac:dyDescent="0.3">
      <c r="A479" s="13">
        <v>93</v>
      </c>
      <c r="B479" s="13" t="str">
        <f>+VLOOKUP(A479,'[1]PA 2023'!$A$8:$E$84,5)</f>
        <v>Mantener en funcionamiento los 3 Centros Vida con la prestacion de servicios integrales y/o dotacion de los mismos cumpliendo con la oferta institucional.</v>
      </c>
      <c r="C479" s="14">
        <v>2020680010040</v>
      </c>
      <c r="D479" s="14" t="str">
        <f>+VLOOKUP(C479,'[1]PA 2023'!$G$8:$H$84,2,FALSE)</f>
        <v>IMPLEMENTACIÓN DE ACCIONES TENDIENTES A MEJORAR LAS CONDICIONES DE LOS ADULTOS MAYORES DEL MUNICIPIO DE BUCARAMANGA</v>
      </c>
      <c r="E479" s="13" t="s">
        <v>1282</v>
      </c>
      <c r="F479" s="15" t="s">
        <v>22</v>
      </c>
      <c r="G479" s="22" t="s">
        <v>23</v>
      </c>
      <c r="H479" s="21" t="s">
        <v>23</v>
      </c>
      <c r="I479" s="13" t="s">
        <v>32</v>
      </c>
      <c r="J479" s="13" t="s">
        <v>25</v>
      </c>
      <c r="K479" s="16">
        <v>45054</v>
      </c>
      <c r="L479" s="17">
        <v>84077</v>
      </c>
      <c r="M479" s="17">
        <v>84077</v>
      </c>
      <c r="N479" s="18">
        <v>84077</v>
      </c>
      <c r="O479" s="15" t="s">
        <v>23</v>
      </c>
      <c r="Q479" s="13">
        <v>4989</v>
      </c>
      <c r="R479" s="13" t="s">
        <v>26</v>
      </c>
      <c r="S479" s="13" t="s">
        <v>33</v>
      </c>
      <c r="T479" s="13" t="s">
        <v>16</v>
      </c>
      <c r="U479" s="17">
        <f t="shared" si="17"/>
        <v>0</v>
      </c>
    </row>
    <row r="480" spans="1:21" x14ac:dyDescent="0.3">
      <c r="A480" s="13">
        <v>71</v>
      </c>
      <c r="B480" s="13" t="str">
        <f>+VLOOKUP(A480,'[1]PA 2023'!$A$8:$E$84,5)</f>
        <v>Formular e implementar 1 estrategia de corresponsabilidad en la garantía de derechos, la prevención de vulneración, amenaza o riesgo en el ámbito familiar, comunitario e institucional.</v>
      </c>
      <c r="C480" s="14">
        <v>2022680010056</v>
      </c>
      <c r="D480" s="14" t="str">
        <f>+VLOOKUP(C480,'[1]PA 2023'!$G$8:$H$84,2,FALSE)</f>
        <v>APOYO EN LOS PROCESOS DE ATENCIÓN INTEGRAL DE LOS NIÑOS Y NIÑAS EN EL ESPACIO DE CUIDADO Y ALBERGUE "CASA BÚHO" EN EL MUNICIPIO DE BUCARAMANGA</v>
      </c>
      <c r="E480" s="13" t="s">
        <v>1283</v>
      </c>
      <c r="F480" s="15" t="s">
        <v>22</v>
      </c>
      <c r="G480" s="22" t="s">
        <v>23</v>
      </c>
      <c r="H480" s="21" t="s">
        <v>23</v>
      </c>
      <c r="I480" s="13" t="s">
        <v>29</v>
      </c>
      <c r="J480" s="13" t="s">
        <v>970</v>
      </c>
      <c r="K480" s="16">
        <v>45054</v>
      </c>
      <c r="L480" s="17">
        <v>29650</v>
      </c>
      <c r="M480" s="17">
        <v>29650</v>
      </c>
      <c r="N480" s="18">
        <v>29650</v>
      </c>
      <c r="O480" s="15" t="s">
        <v>23</v>
      </c>
      <c r="Q480" s="13">
        <v>4990</v>
      </c>
      <c r="R480" s="13" t="s">
        <v>170</v>
      </c>
      <c r="S480" s="13" t="s">
        <v>30</v>
      </c>
      <c r="T480" s="13" t="s">
        <v>16</v>
      </c>
      <c r="U480" s="17">
        <f t="shared" si="17"/>
        <v>0</v>
      </c>
    </row>
    <row r="481" spans="1:21" x14ac:dyDescent="0.3">
      <c r="A481" s="13">
        <v>117</v>
      </c>
      <c r="B481" s="13" t="str">
        <f>+VLOOKUP(A481,'[1]PA 2023'!$A$8:$E$84,5)</f>
        <v>Formular e implementar 1 estrategia de orientación ocupacional, aprovechamiento del tiempo libre, formación y esparcimiento cultural y actividades que mejoren la calidad de vida dirigidas a personas con discapacidad.</v>
      </c>
      <c r="C481" s="14">
        <v>2020680010121</v>
      </c>
      <c r="D481" s="14" t="str">
        <f>+VLOOKUP(C481,'[1]PA 2023'!$G$8:$H$84,2,FALSE)</f>
        <v>APOYO A LA OPERATIVIDAD DE LOS PROGRAMAS DE ATENCIÓN INTEGRAL A LAS PERSONAS CON DISCAPACIDAD. FAMILIARES Y/O CUIDADORES DEL MUNICIPIO DE BUCARAMANGA</v>
      </c>
      <c r="E481" s="13" t="s">
        <v>205</v>
      </c>
      <c r="F481" s="15">
        <v>797</v>
      </c>
      <c r="G481" s="21" t="s">
        <v>43</v>
      </c>
      <c r="H481" s="21" t="s">
        <v>36</v>
      </c>
      <c r="I481" s="13" t="s">
        <v>206</v>
      </c>
      <c r="J481" s="13" t="s">
        <v>207</v>
      </c>
      <c r="K481" s="16">
        <v>45055</v>
      </c>
      <c r="L481" s="17">
        <v>-3383333.33</v>
      </c>
      <c r="M481" s="17">
        <v>-3383333.33</v>
      </c>
      <c r="N481" s="18">
        <v>0</v>
      </c>
      <c r="O481" s="22" t="s">
        <v>208</v>
      </c>
      <c r="Q481" s="13">
        <v>1522</v>
      </c>
      <c r="R481" s="23" t="s">
        <v>193</v>
      </c>
      <c r="S481" s="13" t="s">
        <v>209</v>
      </c>
      <c r="T481" s="13" t="s">
        <v>16</v>
      </c>
      <c r="U481" s="26">
        <v>0</v>
      </c>
    </row>
    <row r="482" spans="1:21" x14ac:dyDescent="0.3">
      <c r="A482" s="13">
        <v>80</v>
      </c>
      <c r="B482" s="13" t="str">
        <f>+VLOOKUP(A482,'[1]PA 2023'!$A$8:$E$84,5)</f>
        <v>Brindar 150.000 entradas gratuitas de niñas, niños y adolescentes y sus familias a  eventos artísticos, culturales, lúdicos y recreativos.</v>
      </c>
      <c r="C482" s="14">
        <v>2021680010003</v>
      </c>
      <c r="D482" s="14" t="str">
        <f>+VLOOKUP(C482,'[1]PA 2023'!$G$8:$H$84,2,FALSE)</f>
        <v>IMPLEMENTACIÓN DE ESTRATEGIAS PSICOPEDAGÓGICAS PARA LA DISMINUCIÓN DE FACTORES DE RIESGO EN NIÑOS, NIÑAS Y ADOLESCENTES EN EL MUNICIPIO DE BUCARAMANGA</v>
      </c>
      <c r="E482" s="13" t="s">
        <v>300</v>
      </c>
      <c r="F482" s="15">
        <v>871</v>
      </c>
      <c r="G482" s="21" t="s">
        <v>43</v>
      </c>
      <c r="H482" s="21" t="s">
        <v>36</v>
      </c>
      <c r="I482" s="13" t="s">
        <v>301</v>
      </c>
      <c r="J482" s="13" t="s">
        <v>212</v>
      </c>
      <c r="K482" s="16">
        <v>45055</v>
      </c>
      <c r="L482" s="17">
        <v>-3500000</v>
      </c>
      <c r="M482" s="17">
        <v>-3500000</v>
      </c>
      <c r="N482" s="18">
        <v>0</v>
      </c>
      <c r="O482" s="22" t="s">
        <v>302</v>
      </c>
      <c r="Q482" s="13">
        <v>1617</v>
      </c>
      <c r="R482" s="23" t="s">
        <v>164</v>
      </c>
      <c r="S482" s="13" t="s">
        <v>303</v>
      </c>
      <c r="T482" s="13" t="s">
        <v>16</v>
      </c>
      <c r="U482" s="26">
        <v>0</v>
      </c>
    </row>
    <row r="483" spans="1:21" x14ac:dyDescent="0.3">
      <c r="A483" s="13">
        <v>285</v>
      </c>
      <c r="B483" s="13" t="str">
        <f>+VLOOKUP(A483,'[1]PA 2023'!$A$8:$E$84,5)</f>
        <v>Mantener en funcionamiento el 100% de los salones comunales que hacen parte del programa Ágoras.</v>
      </c>
      <c r="C483" s="14">
        <v>2022680010029</v>
      </c>
      <c r="D483" s="14" t="str">
        <f>+VLOOKUP(C483,'[1]PA 2023'!$G$8:$H$84,2,FALSE)</f>
        <v>FORTALECIMIENTO DE LA PARTICIPACIÓN CIUDADANA EN EL MUNICIPIO DE BUCARAMANGA</v>
      </c>
      <c r="E483" s="13" t="s">
        <v>681</v>
      </c>
      <c r="F483" s="15">
        <v>1491</v>
      </c>
      <c r="G483" s="21" t="s">
        <v>35</v>
      </c>
      <c r="H483" s="21" t="s">
        <v>36</v>
      </c>
      <c r="I483" s="13" t="s">
        <v>744</v>
      </c>
      <c r="J483" s="13" t="s">
        <v>468</v>
      </c>
      <c r="K483" s="16">
        <v>45055</v>
      </c>
      <c r="L483" s="17">
        <v>-1800000</v>
      </c>
      <c r="M483" s="17">
        <v>-1800000</v>
      </c>
      <c r="N483" s="18">
        <v>0</v>
      </c>
      <c r="O483" s="22" t="s">
        <v>745</v>
      </c>
      <c r="Q483" s="13">
        <v>2527</v>
      </c>
      <c r="R483" s="23" t="s">
        <v>134</v>
      </c>
      <c r="S483" s="13" t="s">
        <v>746</v>
      </c>
      <c r="T483" s="13" t="s">
        <v>16</v>
      </c>
      <c r="U483" s="26">
        <v>0</v>
      </c>
    </row>
    <row r="484" spans="1:21" x14ac:dyDescent="0.3">
      <c r="A484" s="13">
        <v>286</v>
      </c>
      <c r="B484" s="13" t="str">
        <f>+VLOOKUP(A484,'[1]PA 2023'!$A$8:$E$84,5)</f>
        <v>Mantener el beneficio al 100% de los ediles con pago de EPS, ARL, póliza de vida y dotación.</v>
      </c>
      <c r="C484" s="14">
        <v>2022680010029</v>
      </c>
      <c r="D484" s="14" t="str">
        <f>+VLOOKUP(C484,'[1]PA 2023'!$G$8:$H$84,2,FALSE)</f>
        <v>FORTALECIMIENTO DE LA PARTICIPACIÓN CIUDADANA EN EL MUNICIPIO DE BUCARAMANGA</v>
      </c>
      <c r="E484" s="13" t="s">
        <v>1284</v>
      </c>
      <c r="F484" s="15" t="s">
        <v>22</v>
      </c>
      <c r="G484" s="22" t="s">
        <v>23</v>
      </c>
      <c r="H484" s="21" t="s">
        <v>23</v>
      </c>
      <c r="I484" s="13" t="s">
        <v>132</v>
      </c>
      <c r="J484" s="13" t="s">
        <v>133</v>
      </c>
      <c r="K484" s="16">
        <v>45055</v>
      </c>
      <c r="L484" s="17">
        <v>713700</v>
      </c>
      <c r="M484" s="17">
        <v>713700</v>
      </c>
      <c r="N484" s="18">
        <v>713700</v>
      </c>
      <c r="O484" s="15" t="s">
        <v>23</v>
      </c>
      <c r="Q484" s="13">
        <v>4991</v>
      </c>
      <c r="R484" s="13" t="s">
        <v>134</v>
      </c>
      <c r="S484" s="13" t="s">
        <v>135</v>
      </c>
      <c r="T484" s="13" t="s">
        <v>16</v>
      </c>
      <c r="U484" s="17">
        <f t="shared" ref="U484:U502" si="18">+M484-N484</f>
        <v>0</v>
      </c>
    </row>
    <row r="485" spans="1:21" x14ac:dyDescent="0.3">
      <c r="A485" s="13">
        <v>286</v>
      </c>
      <c r="B485" s="13" t="str">
        <f>+VLOOKUP(A485,'[1]PA 2023'!$A$8:$E$84,5)</f>
        <v>Mantener el beneficio al 100% de los ediles con pago de EPS, ARL, póliza de vida y dotación.</v>
      </c>
      <c r="C485" s="14">
        <v>2022680010029</v>
      </c>
      <c r="D485" s="14" t="str">
        <f>+VLOOKUP(C485,'[1]PA 2023'!$G$8:$H$84,2,FALSE)</f>
        <v>FORTALECIMIENTO DE LA PARTICIPACIÓN CIUDADANA EN EL MUNICIPIO DE BUCARAMANGA</v>
      </c>
      <c r="E485" s="13" t="s">
        <v>1285</v>
      </c>
      <c r="F485" s="15" t="s">
        <v>22</v>
      </c>
      <c r="G485" s="22" t="s">
        <v>23</v>
      </c>
      <c r="H485" s="21" t="s">
        <v>23</v>
      </c>
      <c r="I485" s="13" t="s">
        <v>137</v>
      </c>
      <c r="J485" s="13" t="s">
        <v>133</v>
      </c>
      <c r="K485" s="16">
        <v>45055</v>
      </c>
      <c r="L485" s="17">
        <v>725000</v>
      </c>
      <c r="M485" s="17">
        <v>725000</v>
      </c>
      <c r="N485" s="18">
        <v>725000</v>
      </c>
      <c r="O485" s="15" t="s">
        <v>23</v>
      </c>
      <c r="Q485" s="13">
        <v>4992</v>
      </c>
      <c r="R485" s="13" t="s">
        <v>134</v>
      </c>
      <c r="S485" s="13" t="s">
        <v>138</v>
      </c>
      <c r="T485" s="13" t="s">
        <v>16</v>
      </c>
      <c r="U485" s="17">
        <f t="shared" si="18"/>
        <v>0</v>
      </c>
    </row>
    <row r="486" spans="1:21" x14ac:dyDescent="0.3">
      <c r="A486" s="13">
        <v>286</v>
      </c>
      <c r="B486" s="13" t="str">
        <f>+VLOOKUP(A486,'[1]PA 2023'!$A$8:$E$84,5)</f>
        <v>Mantener el beneficio al 100% de los ediles con pago de EPS, ARL, póliza de vida y dotación.</v>
      </c>
      <c r="C486" s="14">
        <v>2022680010029</v>
      </c>
      <c r="D486" s="14" t="str">
        <f>+VLOOKUP(C486,'[1]PA 2023'!$G$8:$H$84,2,FALSE)</f>
        <v>FORTALECIMIENTO DE LA PARTICIPACIÓN CIUDADANA EN EL MUNICIPIO DE BUCARAMANGA</v>
      </c>
      <c r="E486" s="13" t="s">
        <v>1285</v>
      </c>
      <c r="F486" s="15" t="s">
        <v>22</v>
      </c>
      <c r="G486" s="22" t="s">
        <v>23</v>
      </c>
      <c r="H486" s="21" t="s">
        <v>23</v>
      </c>
      <c r="I486" s="13" t="s">
        <v>139</v>
      </c>
      <c r="J486" s="13" t="s">
        <v>133</v>
      </c>
      <c r="K486" s="16">
        <v>45055</v>
      </c>
      <c r="L486" s="17">
        <v>870000</v>
      </c>
      <c r="M486" s="17">
        <v>870000</v>
      </c>
      <c r="N486" s="18">
        <v>870000</v>
      </c>
      <c r="O486" s="15" t="s">
        <v>23</v>
      </c>
      <c r="Q486" s="13">
        <v>4993</v>
      </c>
      <c r="R486" s="13" t="s">
        <v>134</v>
      </c>
      <c r="S486" s="13" t="s">
        <v>140</v>
      </c>
      <c r="T486" s="13" t="s">
        <v>16</v>
      </c>
      <c r="U486" s="17">
        <f t="shared" si="18"/>
        <v>0</v>
      </c>
    </row>
    <row r="487" spans="1:21" x14ac:dyDescent="0.3">
      <c r="A487" s="13">
        <v>286</v>
      </c>
      <c r="B487" s="13" t="str">
        <f>+VLOOKUP(A487,'[1]PA 2023'!$A$8:$E$84,5)</f>
        <v>Mantener el beneficio al 100% de los ediles con pago de EPS, ARL, póliza de vida y dotación.</v>
      </c>
      <c r="C487" s="14">
        <v>2022680010029</v>
      </c>
      <c r="D487" s="14" t="str">
        <f>+VLOOKUP(C487,'[1]PA 2023'!$G$8:$H$84,2,FALSE)</f>
        <v>FORTALECIMIENTO DE LA PARTICIPACIÓN CIUDADANA EN EL MUNICIPIO DE BUCARAMANGA</v>
      </c>
      <c r="E487" s="13" t="s">
        <v>1285</v>
      </c>
      <c r="F487" s="15" t="s">
        <v>22</v>
      </c>
      <c r="G487" s="22" t="s">
        <v>23</v>
      </c>
      <c r="H487" s="21" t="s">
        <v>23</v>
      </c>
      <c r="I487" s="13" t="s">
        <v>139</v>
      </c>
      <c r="J487" s="13" t="s">
        <v>133</v>
      </c>
      <c r="K487" s="16">
        <v>45055</v>
      </c>
      <c r="L487" s="17">
        <v>435000</v>
      </c>
      <c r="M487" s="17">
        <v>435000</v>
      </c>
      <c r="N487" s="18">
        <v>435000</v>
      </c>
      <c r="O487" s="15" t="s">
        <v>23</v>
      </c>
      <c r="Q487" s="13">
        <v>4994</v>
      </c>
      <c r="R487" s="13" t="s">
        <v>134</v>
      </c>
      <c r="S487" s="13" t="s">
        <v>140</v>
      </c>
      <c r="T487" s="13" t="s">
        <v>16</v>
      </c>
      <c r="U487" s="17">
        <f t="shared" si="18"/>
        <v>0</v>
      </c>
    </row>
    <row r="488" spans="1:21" x14ac:dyDescent="0.3">
      <c r="A488" s="13">
        <v>286</v>
      </c>
      <c r="B488" s="13" t="str">
        <f>+VLOOKUP(A488,'[1]PA 2023'!$A$8:$E$84,5)</f>
        <v>Mantener el beneficio al 100% de los ediles con pago de EPS, ARL, póliza de vida y dotación.</v>
      </c>
      <c r="C488" s="14">
        <v>2022680010029</v>
      </c>
      <c r="D488" s="14" t="str">
        <f>+VLOOKUP(C488,'[1]PA 2023'!$G$8:$H$84,2,FALSE)</f>
        <v>FORTALECIMIENTO DE LA PARTICIPACIÓN CIUDADANA EN EL MUNICIPIO DE BUCARAMANGA</v>
      </c>
      <c r="E488" s="13" t="s">
        <v>1285</v>
      </c>
      <c r="F488" s="15" t="s">
        <v>22</v>
      </c>
      <c r="G488" s="22" t="s">
        <v>23</v>
      </c>
      <c r="H488" s="21" t="s">
        <v>23</v>
      </c>
      <c r="I488" s="13" t="s">
        <v>143</v>
      </c>
      <c r="J488" s="13" t="s">
        <v>133</v>
      </c>
      <c r="K488" s="16">
        <v>45055</v>
      </c>
      <c r="L488" s="17">
        <v>1015000</v>
      </c>
      <c r="M488" s="17">
        <v>1015000</v>
      </c>
      <c r="N488" s="18">
        <v>1015000</v>
      </c>
      <c r="O488" s="15" t="s">
        <v>23</v>
      </c>
      <c r="Q488" s="13">
        <v>4995</v>
      </c>
      <c r="R488" s="13" t="s">
        <v>134</v>
      </c>
      <c r="S488" s="13" t="s">
        <v>144</v>
      </c>
      <c r="T488" s="13" t="s">
        <v>16</v>
      </c>
      <c r="U488" s="17">
        <f t="shared" si="18"/>
        <v>0</v>
      </c>
    </row>
    <row r="489" spans="1:21" x14ac:dyDescent="0.3">
      <c r="A489" s="13">
        <v>286</v>
      </c>
      <c r="B489" s="13" t="str">
        <f>+VLOOKUP(A489,'[1]PA 2023'!$A$8:$E$84,5)</f>
        <v>Mantener el beneficio al 100% de los ediles con pago de EPS, ARL, póliza de vida y dotación.</v>
      </c>
      <c r="C489" s="14">
        <v>2022680010029</v>
      </c>
      <c r="D489" s="14" t="str">
        <f>+VLOOKUP(C489,'[1]PA 2023'!$G$8:$H$84,2,FALSE)</f>
        <v>FORTALECIMIENTO DE LA PARTICIPACIÓN CIUDADANA EN EL MUNICIPIO DE BUCARAMANGA</v>
      </c>
      <c r="E489" s="13" t="s">
        <v>1285</v>
      </c>
      <c r="F489" s="15" t="s">
        <v>22</v>
      </c>
      <c r="G489" s="22" t="s">
        <v>23</v>
      </c>
      <c r="H489" s="21" t="s">
        <v>23</v>
      </c>
      <c r="I489" s="13" t="s">
        <v>141</v>
      </c>
      <c r="J489" s="13" t="s">
        <v>133</v>
      </c>
      <c r="K489" s="16">
        <v>45055</v>
      </c>
      <c r="L489" s="17">
        <v>1740000</v>
      </c>
      <c r="M489" s="17">
        <v>1740000</v>
      </c>
      <c r="N489" s="18">
        <v>1740000</v>
      </c>
      <c r="O489" s="15" t="s">
        <v>23</v>
      </c>
      <c r="Q489" s="13">
        <v>4996</v>
      </c>
      <c r="R489" s="13" t="s">
        <v>134</v>
      </c>
      <c r="S489" s="13" t="s">
        <v>142</v>
      </c>
      <c r="T489" s="13" t="s">
        <v>16</v>
      </c>
      <c r="U489" s="17">
        <f t="shared" si="18"/>
        <v>0</v>
      </c>
    </row>
    <row r="490" spans="1:21" x14ac:dyDescent="0.3">
      <c r="A490" s="13">
        <v>286</v>
      </c>
      <c r="B490" s="13" t="str">
        <f>+VLOOKUP(A490,'[1]PA 2023'!$A$8:$E$84,5)</f>
        <v>Mantener el beneficio al 100% de los ediles con pago de EPS, ARL, póliza de vida y dotación.</v>
      </c>
      <c r="C490" s="14">
        <v>2022680010029</v>
      </c>
      <c r="D490" s="14" t="str">
        <f>+VLOOKUP(C490,'[1]PA 2023'!$G$8:$H$84,2,FALSE)</f>
        <v>FORTALECIMIENTO DE LA PARTICIPACIÓN CIUDADANA EN EL MUNICIPIO DE BUCARAMANGA</v>
      </c>
      <c r="E490" s="13" t="s">
        <v>1285</v>
      </c>
      <c r="F490" s="15" t="s">
        <v>22</v>
      </c>
      <c r="G490" s="22" t="s">
        <v>23</v>
      </c>
      <c r="H490" s="21" t="s">
        <v>23</v>
      </c>
      <c r="I490" s="13" t="s">
        <v>145</v>
      </c>
      <c r="J490" s="13" t="s">
        <v>133</v>
      </c>
      <c r="K490" s="16">
        <v>45055</v>
      </c>
      <c r="L490" s="17">
        <v>580000</v>
      </c>
      <c r="M490" s="17">
        <v>580000</v>
      </c>
      <c r="N490" s="18">
        <v>580000</v>
      </c>
      <c r="O490" s="15" t="s">
        <v>23</v>
      </c>
      <c r="Q490" s="13">
        <v>4997</v>
      </c>
      <c r="R490" s="13" t="s">
        <v>134</v>
      </c>
      <c r="S490" s="13" t="s">
        <v>146</v>
      </c>
      <c r="T490" s="13" t="s">
        <v>16</v>
      </c>
      <c r="U490" s="17">
        <f t="shared" si="18"/>
        <v>0</v>
      </c>
    </row>
    <row r="491" spans="1:21" x14ac:dyDescent="0.3">
      <c r="A491" s="13">
        <v>286</v>
      </c>
      <c r="B491" s="13" t="str">
        <f>+VLOOKUP(A491,'[1]PA 2023'!$A$8:$E$84,5)</f>
        <v>Mantener el beneficio al 100% de los ediles con pago de EPS, ARL, póliza de vida y dotación.</v>
      </c>
      <c r="C491" s="14">
        <v>2022680010029</v>
      </c>
      <c r="D491" s="14" t="str">
        <f>+VLOOKUP(C491,'[1]PA 2023'!$G$8:$H$84,2,FALSE)</f>
        <v>FORTALECIMIENTO DE LA PARTICIPACIÓN CIUDADANA EN EL MUNICIPIO DE BUCARAMANGA</v>
      </c>
      <c r="E491" s="13" t="s">
        <v>1285</v>
      </c>
      <c r="F491" s="15" t="s">
        <v>22</v>
      </c>
      <c r="G491" s="22" t="s">
        <v>23</v>
      </c>
      <c r="H491" s="21" t="s">
        <v>23</v>
      </c>
      <c r="I491" s="13" t="s">
        <v>147</v>
      </c>
      <c r="J491" s="13" t="s">
        <v>133</v>
      </c>
      <c r="K491" s="16">
        <v>45055</v>
      </c>
      <c r="L491" s="17">
        <v>4495000</v>
      </c>
      <c r="M491" s="17">
        <v>4495000</v>
      </c>
      <c r="N491" s="18">
        <v>4495000</v>
      </c>
      <c r="O491" s="15" t="s">
        <v>23</v>
      </c>
      <c r="Q491" s="13">
        <v>4998</v>
      </c>
      <c r="R491" s="13" t="s">
        <v>134</v>
      </c>
      <c r="S491" s="13" t="s">
        <v>148</v>
      </c>
      <c r="T491" s="13" t="s">
        <v>16</v>
      </c>
      <c r="U491" s="17">
        <f t="shared" si="18"/>
        <v>0</v>
      </c>
    </row>
    <row r="492" spans="1:21" x14ac:dyDescent="0.3">
      <c r="A492" s="13">
        <v>286</v>
      </c>
      <c r="B492" s="13" t="str">
        <f>+VLOOKUP(A492,'[1]PA 2023'!$A$8:$E$84,5)</f>
        <v>Mantener el beneficio al 100% de los ediles con pago de EPS, ARL, póliza de vida y dotación.</v>
      </c>
      <c r="C492" s="14">
        <v>2022680010029</v>
      </c>
      <c r="D492" s="14" t="str">
        <f>+VLOOKUP(C492,'[1]PA 2023'!$G$8:$H$84,2,FALSE)</f>
        <v>FORTALECIMIENTO DE LA PARTICIPACIÓN CIUDADANA EN EL MUNICIPIO DE BUCARAMANGA</v>
      </c>
      <c r="E492" s="13" t="s">
        <v>1285</v>
      </c>
      <c r="F492" s="15" t="s">
        <v>22</v>
      </c>
      <c r="G492" s="22" t="s">
        <v>23</v>
      </c>
      <c r="H492" s="21" t="s">
        <v>23</v>
      </c>
      <c r="I492" s="13" t="s">
        <v>147</v>
      </c>
      <c r="J492" s="13" t="s">
        <v>133</v>
      </c>
      <c r="K492" s="16">
        <v>45055</v>
      </c>
      <c r="L492" s="17">
        <v>290000</v>
      </c>
      <c r="M492" s="17">
        <v>290000</v>
      </c>
      <c r="N492" s="18">
        <v>290000</v>
      </c>
      <c r="O492" s="15" t="s">
        <v>23</v>
      </c>
      <c r="Q492" s="13">
        <v>4999</v>
      </c>
      <c r="R492" s="13" t="s">
        <v>134</v>
      </c>
      <c r="S492" s="13" t="s">
        <v>148</v>
      </c>
      <c r="T492" s="13" t="s">
        <v>16</v>
      </c>
      <c r="U492" s="17">
        <f t="shared" si="18"/>
        <v>0</v>
      </c>
    </row>
    <row r="493" spans="1:21" x14ac:dyDescent="0.3">
      <c r="A493" s="13">
        <v>286</v>
      </c>
      <c r="B493" s="13" t="str">
        <f>+VLOOKUP(A493,'[1]PA 2023'!$A$8:$E$84,5)</f>
        <v>Mantener el beneficio al 100% de los ediles con pago de EPS, ARL, póliza de vida y dotación.</v>
      </c>
      <c r="C493" s="14">
        <v>2022680010029</v>
      </c>
      <c r="D493" s="14" t="str">
        <f>+VLOOKUP(C493,'[1]PA 2023'!$G$8:$H$84,2,FALSE)</f>
        <v>FORTALECIMIENTO DE LA PARTICIPACIÓN CIUDADANA EN EL MUNICIPIO DE BUCARAMANGA</v>
      </c>
      <c r="E493" s="13" t="s">
        <v>1285</v>
      </c>
      <c r="F493" s="15" t="s">
        <v>22</v>
      </c>
      <c r="G493" s="22" t="s">
        <v>23</v>
      </c>
      <c r="H493" s="21" t="s">
        <v>23</v>
      </c>
      <c r="I493" s="13" t="s">
        <v>149</v>
      </c>
      <c r="J493" s="13" t="s">
        <v>133</v>
      </c>
      <c r="K493" s="16">
        <v>45055</v>
      </c>
      <c r="L493" s="17">
        <v>870000</v>
      </c>
      <c r="M493" s="17">
        <v>870000</v>
      </c>
      <c r="N493" s="18">
        <v>870000</v>
      </c>
      <c r="O493" s="15" t="s">
        <v>23</v>
      </c>
      <c r="Q493" s="13">
        <v>5000</v>
      </c>
      <c r="R493" s="13" t="s">
        <v>134</v>
      </c>
      <c r="S493" s="13" t="s">
        <v>150</v>
      </c>
      <c r="T493" s="13" t="s">
        <v>16</v>
      </c>
      <c r="U493" s="17">
        <f t="shared" si="18"/>
        <v>0</v>
      </c>
    </row>
    <row r="494" spans="1:21" x14ac:dyDescent="0.3">
      <c r="A494" s="13">
        <v>286</v>
      </c>
      <c r="B494" s="13" t="str">
        <f>+VLOOKUP(A494,'[1]PA 2023'!$A$8:$E$84,5)</f>
        <v>Mantener el beneficio al 100% de los ediles con pago de EPS, ARL, póliza de vida y dotación.</v>
      </c>
      <c r="C494" s="14">
        <v>2022680010029</v>
      </c>
      <c r="D494" s="14" t="str">
        <f>+VLOOKUP(C494,'[1]PA 2023'!$G$8:$H$84,2,FALSE)</f>
        <v>FORTALECIMIENTO DE LA PARTICIPACIÓN CIUDADANA EN EL MUNICIPIO DE BUCARAMANGA</v>
      </c>
      <c r="E494" s="13" t="s">
        <v>1285</v>
      </c>
      <c r="F494" s="15" t="s">
        <v>22</v>
      </c>
      <c r="G494" s="22" t="s">
        <v>23</v>
      </c>
      <c r="H494" s="21" t="s">
        <v>23</v>
      </c>
      <c r="I494" s="13" t="s">
        <v>151</v>
      </c>
      <c r="J494" s="13" t="s">
        <v>133</v>
      </c>
      <c r="K494" s="16">
        <v>45055</v>
      </c>
      <c r="L494" s="17">
        <v>3335000</v>
      </c>
      <c r="M494" s="17">
        <v>3335000</v>
      </c>
      <c r="N494" s="18">
        <v>3335000</v>
      </c>
      <c r="O494" s="15" t="s">
        <v>23</v>
      </c>
      <c r="Q494" s="13">
        <v>5001</v>
      </c>
      <c r="R494" s="13" t="s">
        <v>134</v>
      </c>
      <c r="S494" s="13" t="s">
        <v>152</v>
      </c>
      <c r="T494" s="13" t="s">
        <v>16</v>
      </c>
      <c r="U494" s="17">
        <f t="shared" si="18"/>
        <v>0</v>
      </c>
    </row>
    <row r="495" spans="1:21" x14ac:dyDescent="0.3">
      <c r="A495" s="13">
        <v>286</v>
      </c>
      <c r="B495" s="13" t="str">
        <f>+VLOOKUP(A495,'[1]PA 2023'!$A$8:$E$84,5)</f>
        <v>Mantener el beneficio al 100% de los ediles con pago de EPS, ARL, póliza de vida y dotación.</v>
      </c>
      <c r="C495" s="14">
        <v>2022680010029</v>
      </c>
      <c r="D495" s="14" t="str">
        <f>+VLOOKUP(C495,'[1]PA 2023'!$G$8:$H$84,2,FALSE)</f>
        <v>FORTALECIMIENTO DE LA PARTICIPACIÓN CIUDADANA EN EL MUNICIPIO DE BUCARAMANGA</v>
      </c>
      <c r="E495" s="13" t="s">
        <v>1285</v>
      </c>
      <c r="F495" s="15" t="s">
        <v>22</v>
      </c>
      <c r="G495" s="22" t="s">
        <v>23</v>
      </c>
      <c r="H495" s="21" t="s">
        <v>23</v>
      </c>
      <c r="I495" s="13" t="s">
        <v>153</v>
      </c>
      <c r="J495" s="13" t="s">
        <v>133</v>
      </c>
      <c r="K495" s="16">
        <v>45055</v>
      </c>
      <c r="L495" s="17">
        <v>2610000</v>
      </c>
      <c r="M495" s="17">
        <v>2610000</v>
      </c>
      <c r="N495" s="18">
        <v>2610000</v>
      </c>
      <c r="O495" s="15" t="s">
        <v>23</v>
      </c>
      <c r="Q495" s="13">
        <v>5002</v>
      </c>
      <c r="R495" s="13" t="s">
        <v>134</v>
      </c>
      <c r="S495" s="13" t="s">
        <v>154</v>
      </c>
      <c r="T495" s="13" t="s">
        <v>16</v>
      </c>
      <c r="U495" s="17">
        <f t="shared" si="18"/>
        <v>0</v>
      </c>
    </row>
    <row r="496" spans="1:21" x14ac:dyDescent="0.3">
      <c r="A496" s="13">
        <v>95</v>
      </c>
      <c r="B496" s="13" t="str">
        <f>+VLOOKUP(A496,'[1]PA 2023'!$A$8:$E$84,5)</f>
        <v>Formular e implementar 1 estrategia que promueva  las actividades psicosociales, actividades artísticas y culturales,   actividades físicas y recreación y actividades productivas en las personas mayores.</v>
      </c>
      <c r="C496" s="14">
        <v>2020680010040</v>
      </c>
      <c r="D496" s="14" t="str">
        <f>+VLOOKUP(C496,'[1]PA 2023'!$G$8:$H$84,2,FALSE)</f>
        <v>IMPLEMENTACIÓN DE ACCIONES TENDIENTES A MEJORAR LAS CONDICIONES DE LOS ADULTOS MAYORES DEL MUNICIPIO DE BUCARAMANGA</v>
      </c>
      <c r="E496" s="13" t="s">
        <v>1286</v>
      </c>
      <c r="F496" s="15">
        <v>1981</v>
      </c>
      <c r="G496" s="21" t="s">
        <v>43</v>
      </c>
      <c r="H496" s="21" t="s">
        <v>36</v>
      </c>
      <c r="I496" s="13" t="s">
        <v>1287</v>
      </c>
      <c r="J496" s="13" t="s">
        <v>574</v>
      </c>
      <c r="K496" s="16">
        <v>45057</v>
      </c>
      <c r="L496" s="17">
        <v>3000000</v>
      </c>
      <c r="M496" s="17">
        <v>3000000</v>
      </c>
      <c r="N496" s="18">
        <f>2000000+1000000</f>
        <v>3000000</v>
      </c>
      <c r="O496" s="22" t="s">
        <v>1288</v>
      </c>
      <c r="Q496" s="13">
        <v>5074</v>
      </c>
      <c r="R496" s="13" t="s">
        <v>26</v>
      </c>
      <c r="S496" s="13" t="s">
        <v>1289</v>
      </c>
      <c r="T496" s="13" t="s">
        <v>16</v>
      </c>
      <c r="U496" s="17">
        <f t="shared" si="18"/>
        <v>0</v>
      </c>
    </row>
    <row r="497" spans="1:21" x14ac:dyDescent="0.3">
      <c r="A497" s="13">
        <v>300</v>
      </c>
      <c r="B497" s="13" t="str">
        <f>+VLOOKUP(A497,'[1]PA 2023'!$A$8:$E$84,5)</f>
        <v>Mantener el 100% de los programas que desarrolla la Administración Central.</v>
      </c>
      <c r="C497" s="14">
        <v>2020680010025</v>
      </c>
      <c r="D497" s="14" t="str">
        <f>+VLOOKUP(C497,'[1]PA 2023'!$G$8:$H$84,2,FALSE)</f>
        <v>MEJORAMIENTO DE LOS PROCESOS TRANSVERSALES PARA UNA ADMINISTRACIÓN PUBLICA MODERNA Y EFICIENTE EN LA SECRETARÍA DE DESARROLLO SOCIAL DEL MUNICIPIO BUCARAMANGA</v>
      </c>
      <c r="E497" s="13" t="s">
        <v>1290</v>
      </c>
      <c r="F497" s="15">
        <v>1980</v>
      </c>
      <c r="G497" s="22" t="s">
        <v>1291</v>
      </c>
      <c r="H497" s="21" t="s">
        <v>36</v>
      </c>
      <c r="I497" s="13" t="s">
        <v>1292</v>
      </c>
      <c r="J497" s="13" t="s">
        <v>38</v>
      </c>
      <c r="K497" s="16">
        <v>45057</v>
      </c>
      <c r="L497" s="17">
        <v>2000000</v>
      </c>
      <c r="M497" s="17">
        <v>2000000</v>
      </c>
      <c r="N497" s="18">
        <f>1333333.33+666666.67</f>
        <v>2000000</v>
      </c>
      <c r="O497" s="22" t="s">
        <v>1293</v>
      </c>
      <c r="Q497" s="13">
        <v>5075</v>
      </c>
      <c r="R497" s="13" t="s">
        <v>40</v>
      </c>
      <c r="S497" s="13" t="s">
        <v>1294</v>
      </c>
      <c r="T497" s="13" t="s">
        <v>16</v>
      </c>
      <c r="U497" s="17">
        <f t="shared" si="18"/>
        <v>0</v>
      </c>
    </row>
    <row r="498" spans="1:21" x14ac:dyDescent="0.3">
      <c r="A498" s="13">
        <v>67</v>
      </c>
      <c r="B498" s="13" t="str">
        <f>+VLOOKUP(A498,'[1]PA 2023'!$A$8:$E$84,5)</f>
        <v>Formular e implementar 1 estrategia para el fortalecimiento de padres/madres y/o cuidadores en pautas de crianza y vínculos afectivos tanto en el ámbito familiar como comunitario que permita disminuir las violencias en primera infancia.</v>
      </c>
      <c r="C498" s="14">
        <v>2021680010003</v>
      </c>
      <c r="D498" s="14" t="str">
        <f>+VLOOKUP(C498,'[1]PA 2023'!$G$8:$H$84,2,FALSE)</f>
        <v>IMPLEMENTACIÓN DE ESTRATEGIAS PSICOPEDAGÓGICAS PARA LA DISMINUCIÓN DE FACTORES DE RIESGO EN NIÑOS, NIÑAS Y ADOLESCENTES EN EL MUNICIPIO DE BUCARAMANGA</v>
      </c>
      <c r="E498" s="13" t="s">
        <v>1295</v>
      </c>
      <c r="F498" s="15">
        <v>1983</v>
      </c>
      <c r="G498" s="21" t="s">
        <v>43</v>
      </c>
      <c r="H498" s="21" t="s">
        <v>36</v>
      </c>
      <c r="I498" s="13" t="s">
        <v>1296</v>
      </c>
      <c r="J498" s="13" t="s">
        <v>212</v>
      </c>
      <c r="K498" s="16">
        <v>45057</v>
      </c>
      <c r="L498" s="17">
        <v>3000000</v>
      </c>
      <c r="M498" s="17">
        <v>3000000</v>
      </c>
      <c r="N498" s="18">
        <f>2000000+1000000</f>
        <v>3000000</v>
      </c>
      <c r="O498" s="22" t="s">
        <v>1297</v>
      </c>
      <c r="Q498" s="13">
        <v>5081</v>
      </c>
      <c r="R498" s="13" t="s">
        <v>164</v>
      </c>
      <c r="S498" s="13" t="s">
        <v>1298</v>
      </c>
      <c r="T498" s="13" t="s">
        <v>16</v>
      </c>
      <c r="U498" s="17">
        <f t="shared" si="18"/>
        <v>0</v>
      </c>
    </row>
    <row r="499" spans="1:21" x14ac:dyDescent="0.3">
      <c r="A499" s="13">
        <v>285</v>
      </c>
      <c r="B499" s="13" t="str">
        <f>+VLOOKUP(A499,'[1]PA 2023'!$A$8:$E$84,5)</f>
        <v>Mantener en funcionamiento el 100% de los salones comunales que hacen parte del programa Ágoras.</v>
      </c>
      <c r="C499" s="14">
        <v>2022680010029</v>
      </c>
      <c r="D499" s="14" t="str">
        <f>+VLOOKUP(C499,'[1]PA 2023'!$G$8:$H$84,2,FALSE)</f>
        <v>FORTALECIMIENTO DE LA PARTICIPACIÓN CIUDADANA EN EL MUNICIPIO DE BUCARAMANGA</v>
      </c>
      <c r="E499" s="13" t="s">
        <v>1299</v>
      </c>
      <c r="F499" s="15" t="s">
        <v>22</v>
      </c>
      <c r="G499" s="22" t="s">
        <v>23</v>
      </c>
      <c r="H499" s="21" t="s">
        <v>23</v>
      </c>
      <c r="I499" s="13" t="s">
        <v>470</v>
      </c>
      <c r="J499" s="13" t="s">
        <v>1130</v>
      </c>
      <c r="K499" s="16">
        <v>45057</v>
      </c>
      <c r="L499" s="17">
        <v>1005808</v>
      </c>
      <c r="M499" s="17">
        <v>1005808</v>
      </c>
      <c r="N499" s="18">
        <v>1005808</v>
      </c>
      <c r="O499" s="15" t="s">
        <v>23</v>
      </c>
      <c r="Q499" s="13">
        <v>5093</v>
      </c>
      <c r="R499" s="13" t="s">
        <v>134</v>
      </c>
      <c r="S499" s="13" t="s">
        <v>471</v>
      </c>
      <c r="T499" s="13" t="s">
        <v>16</v>
      </c>
      <c r="U499" s="17">
        <f t="shared" si="18"/>
        <v>0</v>
      </c>
    </row>
    <row r="500" spans="1:21" x14ac:dyDescent="0.3">
      <c r="A500" s="13">
        <v>101</v>
      </c>
      <c r="B500" s="13" t="str">
        <f>+VLOOKUP(A500,'[1]PA 2023'!$A$8:$E$84,5)</f>
        <v>Atender y mantener de manera integral desde el componente psicosociojurídico y social a 600 mujeres, niñas y personas considerando los enfoques diferenciales y diversidad sexual.</v>
      </c>
      <c r="C500" s="14">
        <v>2020680010106</v>
      </c>
      <c r="D500" s="14" t="str">
        <f>+VLOOKUP(C500,'[1]PA 2023'!$G$8:$H$84,2,FALSE)</f>
        <v>FORTALECIMIENTO DE ESPACIOS DE PARTICIPACIÓN Y PREVENCIÓN DE VIOLENCIAS EN MUJERES Y POBLACIÓN CON ORIENTACIONES SEXUALES E IDENTIDADES DE GÉNERO DIVERSAS DEL MUNICIPIO DE BUCARAMANGA</v>
      </c>
      <c r="E500" s="13" t="s">
        <v>1300</v>
      </c>
      <c r="F500" s="15">
        <v>1990</v>
      </c>
      <c r="G500" s="21" t="s">
        <v>43</v>
      </c>
      <c r="H500" s="21" t="s">
        <v>36</v>
      </c>
      <c r="I500" s="13" t="s">
        <v>1301</v>
      </c>
      <c r="J500" s="13" t="s">
        <v>378</v>
      </c>
      <c r="K500" s="16">
        <v>45058</v>
      </c>
      <c r="L500" s="17">
        <v>3000000</v>
      </c>
      <c r="M500" s="17">
        <v>3000000</v>
      </c>
      <c r="N500" s="18">
        <f>1900000+1100000</f>
        <v>3000000</v>
      </c>
      <c r="O500" s="22" t="s">
        <v>1302</v>
      </c>
      <c r="Q500" s="13">
        <v>5120</v>
      </c>
      <c r="R500" s="13" t="s">
        <v>380</v>
      </c>
      <c r="S500" s="13" t="s">
        <v>1303</v>
      </c>
      <c r="T500" s="13" t="s">
        <v>16</v>
      </c>
      <c r="U500" s="17">
        <f t="shared" si="18"/>
        <v>0</v>
      </c>
    </row>
    <row r="501" spans="1:21" x14ac:dyDescent="0.3">
      <c r="A501" s="13">
        <v>112</v>
      </c>
      <c r="B501" s="13" t="str">
        <f>+VLOOKUP(A501,'[1]PA 2023'!$A$8:$E$84,5)</f>
        <v>Mantener a 284 habitantes de calle con atención integral en la cual se incluya la prestación de servicios básicos.</v>
      </c>
      <c r="C501" s="14">
        <v>2020680010050</v>
      </c>
      <c r="D501" s="14" t="str">
        <f>+VLOOKUP(C501,'[1]PA 2023'!$G$8:$H$84,2,FALSE)</f>
        <v>DESARROLLO DE ACCIONES ENCAMINADAS A GENERAR ATENCIÓN INTEGRAL HACIA LA POBLACIÓN HABITANTES EN SITUACIÓN DE CALLE DEL MUNICIPIO DE BUCARAMANGA</v>
      </c>
      <c r="E501" s="13" t="s">
        <v>1304</v>
      </c>
      <c r="F501" s="15">
        <v>96</v>
      </c>
      <c r="G501" s="22" t="s">
        <v>184</v>
      </c>
      <c r="H501" s="21" t="s">
        <v>185</v>
      </c>
      <c r="I501" s="13" t="s">
        <v>435</v>
      </c>
      <c r="J501" s="13" t="s">
        <v>180</v>
      </c>
      <c r="K501" s="16">
        <v>45058</v>
      </c>
      <c r="L501" s="17">
        <v>458512176</v>
      </c>
      <c r="M501" s="17">
        <v>458512176</v>
      </c>
      <c r="N501" s="18">
        <f>42062190+138653441.68+137017988.96</f>
        <v>317733620.63999999</v>
      </c>
      <c r="O501" s="22" t="s">
        <v>1305</v>
      </c>
      <c r="Q501" s="13">
        <v>5125</v>
      </c>
      <c r="R501" s="13" t="s">
        <v>161</v>
      </c>
      <c r="S501" s="13" t="s">
        <v>437</v>
      </c>
      <c r="T501" s="13" t="s">
        <v>16</v>
      </c>
      <c r="U501" s="17">
        <f t="shared" si="18"/>
        <v>140778555.36000001</v>
      </c>
    </row>
    <row r="502" spans="1:21" x14ac:dyDescent="0.3">
      <c r="A502" s="13">
        <v>67</v>
      </c>
      <c r="B502" s="13" t="str">
        <f>+VLOOKUP(A502,'[1]PA 2023'!$A$8:$E$84,5)</f>
        <v>Formular e implementar 1 estrategia para el fortalecimiento de padres/madres y/o cuidadores en pautas de crianza y vínculos afectivos tanto en el ámbito familiar como comunitario que permita disminuir las violencias en primera infancia.</v>
      </c>
      <c r="C502" s="14">
        <v>2021680010003</v>
      </c>
      <c r="D502" s="14" t="str">
        <f>+VLOOKUP(C502,'[1]PA 2023'!$G$8:$H$84,2,FALSE)</f>
        <v>IMPLEMENTACIÓN DE ESTRATEGIAS PSICOPEDAGÓGICAS PARA LA DISMINUCIÓN DE FACTORES DE RIESGO EN NIÑOS, NIÑAS Y ADOLESCENTES EN EL MUNICIPIO DE BUCARAMANGA</v>
      </c>
      <c r="E502" s="13" t="s">
        <v>1306</v>
      </c>
      <c r="F502" s="15">
        <v>2000</v>
      </c>
      <c r="G502" s="21" t="s">
        <v>43</v>
      </c>
      <c r="H502" s="21" t="s">
        <v>36</v>
      </c>
      <c r="I502" s="13" t="s">
        <v>1307</v>
      </c>
      <c r="J502" s="13" t="s">
        <v>212</v>
      </c>
      <c r="K502" s="16">
        <v>45061</v>
      </c>
      <c r="L502" s="17">
        <v>3000000</v>
      </c>
      <c r="M502" s="17">
        <v>3000000</v>
      </c>
      <c r="N502" s="18">
        <f>1600000+1400000</f>
        <v>3000000</v>
      </c>
      <c r="O502" s="22" t="s">
        <v>1308</v>
      </c>
      <c r="Q502" s="13">
        <v>5195</v>
      </c>
      <c r="R502" s="13" t="s">
        <v>164</v>
      </c>
      <c r="S502" s="13" t="s">
        <v>1309</v>
      </c>
      <c r="T502" s="13" t="s">
        <v>16</v>
      </c>
      <c r="U502" s="17">
        <f t="shared" si="18"/>
        <v>0</v>
      </c>
    </row>
    <row r="503" spans="1:21" x14ac:dyDescent="0.3">
      <c r="A503" s="13">
        <v>286</v>
      </c>
      <c r="B503" s="13" t="str">
        <f>+VLOOKUP(A503,'[1]PA 2023'!$A$8:$E$84,5)</f>
        <v>Mantener el beneficio al 100% de los ediles con pago de EPS, ARL, póliza de vida y dotación.</v>
      </c>
      <c r="C503" s="14">
        <v>2022680010029</v>
      </c>
      <c r="D503" s="14" t="str">
        <f>+VLOOKUP(C503,'[1]PA 2023'!$G$8:$H$84,2,FALSE)</f>
        <v>FORTALECIMIENTO DE LA PARTICIPACIÓN CIUDADANA EN EL MUNICIPIO DE BUCARAMANGA</v>
      </c>
      <c r="E503" s="13" t="s">
        <v>1310</v>
      </c>
      <c r="F503" s="15">
        <v>98</v>
      </c>
      <c r="G503" s="22" t="s">
        <v>156</v>
      </c>
      <c r="H503" s="21" t="s">
        <v>1165</v>
      </c>
      <c r="I503" s="13" t="s">
        <v>1311</v>
      </c>
      <c r="J503" s="13" t="s">
        <v>468</v>
      </c>
      <c r="K503" s="16">
        <v>45061</v>
      </c>
      <c r="L503" s="17">
        <v>28350000</v>
      </c>
      <c r="M503" s="17">
        <v>28350000</v>
      </c>
      <c r="N503" s="18">
        <v>27300000</v>
      </c>
      <c r="O503" s="22" t="s">
        <v>1312</v>
      </c>
      <c r="Q503" s="13">
        <v>5196</v>
      </c>
      <c r="R503" s="23" t="s">
        <v>134</v>
      </c>
      <c r="S503" s="13" t="s">
        <v>1313</v>
      </c>
      <c r="T503" s="13" t="s">
        <v>16</v>
      </c>
      <c r="U503" s="17">
        <f>+M503-N503+M918</f>
        <v>1920000</v>
      </c>
    </row>
    <row r="504" spans="1:21" x14ac:dyDescent="0.3">
      <c r="A504" s="13">
        <v>99</v>
      </c>
      <c r="B504" s="13" t="str">
        <f>+VLOOKUP(A504,'[1]PA 2023'!$A$8:$E$84,5)</f>
        <v>Formular e implementar 1 estrategia para brindar asistencia social a la población afectada por las diferentes emergencias y particularmente COVID-19.</v>
      </c>
      <c r="C504" s="14">
        <v>2022680010036</v>
      </c>
      <c r="D504" s="14" t="str">
        <f>+VLOOKUP(C504,'[1]PA 2023'!$G$8:$H$84,2,FALSE)</f>
        <v>IMPLEMENTACIÓN DE ACCIONES DE ASISTENCIA SOCIAL ORIENTADAS A LA POBLACIÓN AFECTADA POR LAS DIFERENTES EMERGENCIAS SOCIALES, NATURALES, SANITARIAS ANTRÓPICAS O EN SITUACIÓN DE VULNERABILIDAD EN EL MUNICIPIO DE BUCARAMANGA</v>
      </c>
      <c r="E504" s="13" t="s">
        <v>1314</v>
      </c>
      <c r="F504" s="15">
        <v>2007</v>
      </c>
      <c r="G504" s="22" t="s">
        <v>35</v>
      </c>
      <c r="H504" s="21" t="s">
        <v>36</v>
      </c>
      <c r="I504" s="13" t="s">
        <v>1315</v>
      </c>
      <c r="J504" s="13" t="s">
        <v>538</v>
      </c>
      <c r="K504" s="16">
        <v>45062</v>
      </c>
      <c r="L504" s="17">
        <v>1800000</v>
      </c>
      <c r="M504" s="17">
        <v>1800000</v>
      </c>
      <c r="N504" s="18">
        <f>900000+900000</f>
        <v>1800000</v>
      </c>
      <c r="O504" s="22" t="s">
        <v>1316</v>
      </c>
      <c r="Q504" s="13">
        <v>5218</v>
      </c>
      <c r="R504" s="13" t="s">
        <v>540</v>
      </c>
      <c r="S504" s="13" t="s">
        <v>1317</v>
      </c>
      <c r="T504" s="13" t="s">
        <v>16</v>
      </c>
      <c r="U504" s="17">
        <f>+M504-N504</f>
        <v>0</v>
      </c>
    </row>
    <row r="505" spans="1:21" x14ac:dyDescent="0.3">
      <c r="A505" s="13">
        <v>95</v>
      </c>
      <c r="B505" s="13" t="str">
        <f>+VLOOKUP(A505,'[1]PA 2023'!$A$8:$E$84,5)</f>
        <v>Formular e implementar 1 estrategia que promueva  las actividades psicosociales, actividades artísticas y culturales,   actividades físicas y recreación y actividades productivas en las personas mayores.</v>
      </c>
      <c r="C505" s="14">
        <v>2020680010040</v>
      </c>
      <c r="D505" s="14" t="str">
        <f>+VLOOKUP(C505,'[1]PA 2023'!$G$8:$H$84,2,FALSE)</f>
        <v>IMPLEMENTACIÓN DE ACCIONES TENDIENTES A MEJORAR LAS CONDICIONES DE LOS ADULTOS MAYORES DEL MUNICIPIO DE BUCARAMANGA</v>
      </c>
      <c r="E505" s="13" t="s">
        <v>1318</v>
      </c>
      <c r="F505" s="15">
        <v>2004</v>
      </c>
      <c r="G505" s="21" t="s">
        <v>43</v>
      </c>
      <c r="H505" s="21" t="s">
        <v>36</v>
      </c>
      <c r="I505" s="13" t="s">
        <v>1319</v>
      </c>
      <c r="J505" s="13" t="s">
        <v>574</v>
      </c>
      <c r="K505" s="16">
        <v>45062</v>
      </c>
      <c r="L505" s="17">
        <v>3000000</v>
      </c>
      <c r="M505" s="17">
        <v>3000000</v>
      </c>
      <c r="N505" s="18">
        <f>1500000+1500000</f>
        <v>3000000</v>
      </c>
      <c r="O505" s="22" t="s">
        <v>1320</v>
      </c>
      <c r="Q505" s="13">
        <v>5219</v>
      </c>
      <c r="R505" s="13" t="s">
        <v>26</v>
      </c>
      <c r="S505" s="13" t="s">
        <v>1321</v>
      </c>
      <c r="T505" s="13" t="s">
        <v>16</v>
      </c>
      <c r="U505" s="17">
        <f>+M505-N505</f>
        <v>0</v>
      </c>
    </row>
    <row r="506" spans="1:21" x14ac:dyDescent="0.3">
      <c r="A506" s="13">
        <v>99</v>
      </c>
      <c r="B506" s="13" t="str">
        <f>+VLOOKUP(A506,'[1]PA 2023'!$A$8:$E$84,5)</f>
        <v>Formular e implementar 1 estrategia para brindar asistencia social a la población afectada por las diferentes emergencias y particularmente COVID-19.</v>
      </c>
      <c r="C506" s="14">
        <v>2022680010036</v>
      </c>
      <c r="D506" s="14" t="str">
        <f>+VLOOKUP(C506,'[1]PA 2023'!$G$8:$H$84,2,FALSE)</f>
        <v>IMPLEMENTACIÓN DE ACCIONES DE ASISTENCIA SOCIAL ORIENTADAS A LA POBLACIÓN AFECTADA POR LAS DIFERENTES EMERGENCIAS SOCIALES, NATURALES, SANITARIAS ANTRÓPICAS O EN SITUACIÓN DE VULNERABILIDAD EN EL MUNICIPIO DE BUCARAMANGA</v>
      </c>
      <c r="E506" s="13" t="s">
        <v>1064</v>
      </c>
      <c r="F506" s="15">
        <v>2023</v>
      </c>
      <c r="G506" s="22" t="s">
        <v>35</v>
      </c>
      <c r="H506" s="21" t="s">
        <v>36</v>
      </c>
      <c r="I506" s="13" t="s">
        <v>1322</v>
      </c>
      <c r="J506" s="13" t="s">
        <v>538</v>
      </c>
      <c r="K506" s="16">
        <v>45063</v>
      </c>
      <c r="L506" s="17">
        <v>1800000</v>
      </c>
      <c r="M506" s="17">
        <v>1800000</v>
      </c>
      <c r="N506" s="18">
        <f>780000+1020000</f>
        <v>1800000</v>
      </c>
      <c r="O506" s="22" t="s">
        <v>1323</v>
      </c>
      <c r="Q506" s="13">
        <v>5268</v>
      </c>
      <c r="R506" s="13" t="s">
        <v>540</v>
      </c>
      <c r="S506" s="13" t="s">
        <v>1324</v>
      </c>
      <c r="T506" s="13" t="s">
        <v>16</v>
      </c>
      <c r="U506" s="17">
        <f>+M506-N506</f>
        <v>0</v>
      </c>
    </row>
    <row r="507" spans="1:21" x14ac:dyDescent="0.3">
      <c r="A507" s="13">
        <v>112</v>
      </c>
      <c r="B507" s="13" t="str">
        <f>+VLOOKUP(A507,'[1]PA 2023'!$A$8:$E$84,5)</f>
        <v>Mantener a 284 habitantes de calle con atención integral en la cual se incluya la prestación de servicios básicos.</v>
      </c>
      <c r="C507" s="14">
        <v>2020680010050</v>
      </c>
      <c r="D507" s="14" t="str">
        <f>+VLOOKUP(C507,'[1]PA 2023'!$G$8:$H$84,2,FALSE)</f>
        <v>DESARROLLO DE ACCIONES ENCAMINADAS A GENERAR ATENCIÓN INTEGRAL HACIA LA POBLACIÓN HABITANTES EN SITUACIÓN DE CALLE DEL MUNICIPIO DE BUCARAMANGA</v>
      </c>
      <c r="E507" s="13" t="s">
        <v>1325</v>
      </c>
      <c r="F507" s="15">
        <v>103</v>
      </c>
      <c r="G507" s="22" t="s">
        <v>184</v>
      </c>
      <c r="H507" s="21" t="s">
        <v>185</v>
      </c>
      <c r="I507" s="13" t="s">
        <v>435</v>
      </c>
      <c r="J507" s="13" t="s">
        <v>180</v>
      </c>
      <c r="K507" s="16">
        <v>45063</v>
      </c>
      <c r="L507" s="17">
        <v>128162790</v>
      </c>
      <c r="M507" s="17">
        <v>128162790</v>
      </c>
      <c r="N507" s="18">
        <f>2477813.94+11420728.62+17173813.86+16860527.04</f>
        <v>47932883.459999993</v>
      </c>
      <c r="O507" s="22" t="s">
        <v>1326</v>
      </c>
      <c r="Q507" s="13">
        <v>5269</v>
      </c>
      <c r="R507" s="13" t="s">
        <v>161</v>
      </c>
      <c r="S507" s="13" t="s">
        <v>437</v>
      </c>
      <c r="T507" s="13" t="s">
        <v>16</v>
      </c>
      <c r="U507" s="17">
        <f>+M507-N507</f>
        <v>80229906.540000007</v>
      </c>
    </row>
    <row r="508" spans="1:21" x14ac:dyDescent="0.3">
      <c r="A508" s="13">
        <v>92</v>
      </c>
      <c r="B508" s="13" t="str">
        <f>+VLOOKUP(A508,'[1]PA 2023'!$A$8:$E$84,5)</f>
        <v>Mantener a 1.656 personas mayores vulnerables con atencion integral en instituciones especializadas a través de las modalidades centros vida y centros de bienestar en el marco de la Ley 1276 de 2009.</v>
      </c>
      <c r="C508" s="14">
        <v>2020680010040</v>
      </c>
      <c r="D508" s="14" t="str">
        <f>+VLOOKUP(C508,'[1]PA 2023'!$G$8:$H$84,2,FALSE)</f>
        <v>IMPLEMENTACIÓN DE ACCIONES TENDIENTES A MEJORAR LAS CONDICIONES DE LOS ADULTOS MAYORES DEL MUNICIPIO DE BUCARAMANGA</v>
      </c>
      <c r="E508" s="13" t="s">
        <v>388</v>
      </c>
      <c r="F508" s="15">
        <v>151</v>
      </c>
      <c r="G508" s="22" t="s">
        <v>184</v>
      </c>
      <c r="H508" s="21" t="s">
        <v>185</v>
      </c>
      <c r="I508" s="13" t="s">
        <v>389</v>
      </c>
      <c r="J508" s="13" t="s">
        <v>384</v>
      </c>
      <c r="K508" s="16">
        <v>45065</v>
      </c>
      <c r="L508" s="17">
        <v>-25606000</v>
      </c>
      <c r="M508" s="17">
        <v>-25606000</v>
      </c>
      <c r="N508" s="18">
        <v>0</v>
      </c>
      <c r="O508" s="22" t="s">
        <v>390</v>
      </c>
      <c r="Q508" s="13">
        <v>1757</v>
      </c>
      <c r="R508" s="23" t="s">
        <v>386</v>
      </c>
      <c r="S508" s="13" t="s">
        <v>391</v>
      </c>
      <c r="T508" s="13" t="s">
        <v>16</v>
      </c>
      <c r="U508" s="26">
        <v>0</v>
      </c>
    </row>
    <row r="509" spans="1:21" x14ac:dyDescent="0.3">
      <c r="A509" s="13">
        <v>92</v>
      </c>
      <c r="B509" s="13" t="str">
        <f>+VLOOKUP(A509,'[1]PA 2023'!$A$8:$E$84,5)</f>
        <v>Mantener a 1.656 personas mayores vulnerables con atencion integral en instituciones especializadas a través de las modalidades centros vida y centros de bienestar en el marco de la Ley 1276 de 2009.</v>
      </c>
      <c r="C509" s="14">
        <v>2020680010040</v>
      </c>
      <c r="D509" s="14" t="str">
        <f>+VLOOKUP(C509,'[1]PA 2023'!$G$8:$H$84,2,FALSE)</f>
        <v>IMPLEMENTACIÓN DE ACCIONES TENDIENTES A MEJORAR LAS CONDICIONES DE LOS ADULTOS MAYORES DEL MUNICIPIO DE BUCARAMANGA</v>
      </c>
      <c r="E509" s="13" t="s">
        <v>388</v>
      </c>
      <c r="F509" s="15">
        <v>151</v>
      </c>
      <c r="G509" s="22" t="s">
        <v>184</v>
      </c>
      <c r="H509" s="21" t="s">
        <v>185</v>
      </c>
      <c r="I509" s="13" t="s">
        <v>389</v>
      </c>
      <c r="J509" s="13" t="s">
        <v>372</v>
      </c>
      <c r="K509" s="16">
        <v>45065</v>
      </c>
      <c r="L509" s="17">
        <v>-36575300</v>
      </c>
      <c r="M509" s="17">
        <v>-36575300</v>
      </c>
      <c r="N509" s="18">
        <v>0</v>
      </c>
      <c r="O509" s="22" t="s">
        <v>390</v>
      </c>
      <c r="Q509" s="13">
        <v>1832</v>
      </c>
      <c r="R509" s="23" t="s">
        <v>374</v>
      </c>
      <c r="S509" s="13" t="s">
        <v>391</v>
      </c>
      <c r="T509" s="13" t="s">
        <v>16</v>
      </c>
      <c r="U509" s="26">
        <v>0</v>
      </c>
    </row>
    <row r="510" spans="1:21" x14ac:dyDescent="0.3">
      <c r="A510" s="13">
        <v>92</v>
      </c>
      <c r="B510" s="13" t="str">
        <f>+VLOOKUP(A510,'[1]PA 2023'!$A$8:$E$84,5)</f>
        <v>Mantener a 1.656 personas mayores vulnerables con atencion integral en instituciones especializadas a través de las modalidades centros vida y centros de bienestar en el marco de la Ley 1276 de 2009.</v>
      </c>
      <c r="C510" s="14">
        <v>2020680010040</v>
      </c>
      <c r="D510" s="14" t="str">
        <f>+VLOOKUP(C510,'[1]PA 2023'!$G$8:$H$84,2,FALSE)</f>
        <v>IMPLEMENTACIÓN DE ACCIONES TENDIENTES A MEJORAR LAS CONDICIONES DE LOS ADULTOS MAYORES DEL MUNICIPIO DE BUCARAMANGA</v>
      </c>
      <c r="E510" s="13" t="s">
        <v>409</v>
      </c>
      <c r="F510" s="15">
        <v>153</v>
      </c>
      <c r="G510" s="22" t="s">
        <v>184</v>
      </c>
      <c r="H510" s="21" t="s">
        <v>185</v>
      </c>
      <c r="I510" s="13" t="s">
        <v>186</v>
      </c>
      <c r="J510" s="13" t="s">
        <v>384</v>
      </c>
      <c r="K510" s="16">
        <v>45065</v>
      </c>
      <c r="L510" s="17">
        <v>-1974000</v>
      </c>
      <c r="M510" s="17">
        <v>-1974000</v>
      </c>
      <c r="N510" s="18">
        <v>0</v>
      </c>
      <c r="O510" s="22" t="s">
        <v>410</v>
      </c>
      <c r="Q510" s="13">
        <v>1834</v>
      </c>
      <c r="R510" s="23" t="s">
        <v>386</v>
      </c>
      <c r="S510" s="13" t="s">
        <v>188</v>
      </c>
      <c r="T510" s="13" t="s">
        <v>16</v>
      </c>
      <c r="U510" s="26">
        <v>0</v>
      </c>
    </row>
    <row r="511" spans="1:21" x14ac:dyDescent="0.3">
      <c r="A511" s="13">
        <v>92</v>
      </c>
      <c r="B511" s="13" t="str">
        <f>+VLOOKUP(A511,'[1]PA 2023'!$A$8:$E$84,5)</f>
        <v>Mantener a 1.656 personas mayores vulnerables con atencion integral en instituciones especializadas a través de las modalidades centros vida y centros de bienestar en el marco de la Ley 1276 de 2009.</v>
      </c>
      <c r="C511" s="14">
        <v>2020680010040</v>
      </c>
      <c r="D511" s="14" t="str">
        <f>+VLOOKUP(C511,'[1]PA 2023'!$G$8:$H$84,2,FALSE)</f>
        <v>IMPLEMENTACIÓN DE ACCIONES TENDIENTES A MEJORAR LAS CONDICIONES DE LOS ADULTOS MAYORES DEL MUNICIPIO DE BUCARAMANGA</v>
      </c>
      <c r="E511" s="13" t="s">
        <v>411</v>
      </c>
      <c r="F511" s="15">
        <v>153</v>
      </c>
      <c r="G511" s="22" t="s">
        <v>184</v>
      </c>
      <c r="H511" s="21" t="s">
        <v>185</v>
      </c>
      <c r="I511" s="13" t="s">
        <v>186</v>
      </c>
      <c r="J511" s="13" t="s">
        <v>372</v>
      </c>
      <c r="K511" s="16">
        <v>45065</v>
      </c>
      <c r="L511" s="17">
        <v>-10063100</v>
      </c>
      <c r="M511" s="17">
        <v>-10063100</v>
      </c>
      <c r="N511" s="18">
        <v>0</v>
      </c>
      <c r="O511" s="22" t="s">
        <v>410</v>
      </c>
      <c r="Q511" s="13">
        <v>1835</v>
      </c>
      <c r="R511" s="23" t="s">
        <v>374</v>
      </c>
      <c r="S511" s="13" t="s">
        <v>188</v>
      </c>
      <c r="T511" s="13" t="s">
        <v>16</v>
      </c>
      <c r="U511" s="26">
        <v>0</v>
      </c>
    </row>
    <row r="512" spans="1:21" x14ac:dyDescent="0.3">
      <c r="A512" s="13">
        <v>92</v>
      </c>
      <c r="B512" s="13" t="str">
        <f>+VLOOKUP(A512,'[1]PA 2023'!$A$8:$E$84,5)</f>
        <v>Mantener a 1.656 personas mayores vulnerables con atencion integral en instituciones especializadas a través de las modalidades centros vida y centros de bienestar en el marco de la Ley 1276 de 2009.</v>
      </c>
      <c r="C512" s="14">
        <v>2020680010040</v>
      </c>
      <c r="D512" s="14" t="str">
        <f>+VLOOKUP(C512,'[1]PA 2023'!$G$8:$H$84,2,FALSE)</f>
        <v>IMPLEMENTACIÓN DE ACCIONES TENDIENTES A MEJORAR LAS CONDICIONES DE LOS ADULTOS MAYORES DEL MUNICIPIO DE BUCARAMANGA</v>
      </c>
      <c r="E512" s="13" t="s">
        <v>412</v>
      </c>
      <c r="F512" s="15">
        <v>154</v>
      </c>
      <c r="G512" s="22" t="s">
        <v>184</v>
      </c>
      <c r="H512" s="21" t="s">
        <v>185</v>
      </c>
      <c r="I512" s="13" t="s">
        <v>413</v>
      </c>
      <c r="J512" s="13" t="s">
        <v>384</v>
      </c>
      <c r="K512" s="16">
        <v>45065</v>
      </c>
      <c r="L512" s="17">
        <v>-28420000</v>
      </c>
      <c r="M512" s="17">
        <v>-28420000</v>
      </c>
      <c r="N512" s="18">
        <v>0</v>
      </c>
      <c r="O512" s="22" t="s">
        <v>414</v>
      </c>
      <c r="Q512" s="13">
        <v>1836</v>
      </c>
      <c r="R512" s="23" t="s">
        <v>386</v>
      </c>
      <c r="S512" s="13" t="s">
        <v>415</v>
      </c>
      <c r="T512" s="13" t="s">
        <v>16</v>
      </c>
      <c r="U512" s="26">
        <v>0</v>
      </c>
    </row>
    <row r="513" spans="1:21" x14ac:dyDescent="0.3">
      <c r="A513" s="13">
        <v>92</v>
      </c>
      <c r="B513" s="13" t="str">
        <f>+VLOOKUP(A513,'[1]PA 2023'!$A$8:$E$84,5)</f>
        <v>Mantener a 1.656 personas mayores vulnerables con atencion integral en instituciones especializadas a través de las modalidades centros vida y centros de bienestar en el marco de la Ley 1276 de 2009.</v>
      </c>
      <c r="C513" s="14">
        <v>2020680010040</v>
      </c>
      <c r="D513" s="14" t="str">
        <f>+VLOOKUP(C513,'[1]PA 2023'!$G$8:$H$84,2,FALSE)</f>
        <v>IMPLEMENTACIÓN DE ACCIONES TENDIENTES A MEJORAR LAS CONDICIONES DE LOS ADULTOS MAYORES DEL MUNICIPIO DE BUCARAMANGA</v>
      </c>
      <c r="E513" s="13" t="s">
        <v>412</v>
      </c>
      <c r="F513" s="15">
        <v>154</v>
      </c>
      <c r="G513" s="22" t="s">
        <v>184</v>
      </c>
      <c r="H513" s="21" t="s">
        <v>185</v>
      </c>
      <c r="I513" s="13" t="s">
        <v>413</v>
      </c>
      <c r="J513" s="13" t="s">
        <v>372</v>
      </c>
      <c r="K513" s="16">
        <v>45065</v>
      </c>
      <c r="L513" s="17">
        <v>-7725000</v>
      </c>
      <c r="M513" s="17">
        <v>-7725000</v>
      </c>
      <c r="N513" s="18">
        <v>0</v>
      </c>
      <c r="O513" s="22" t="s">
        <v>414</v>
      </c>
      <c r="Q513" s="13">
        <v>1837</v>
      </c>
      <c r="R513" s="23" t="s">
        <v>374</v>
      </c>
      <c r="S513" s="13" t="s">
        <v>415</v>
      </c>
      <c r="T513" s="13" t="s">
        <v>16</v>
      </c>
      <c r="U513" s="26">
        <v>0</v>
      </c>
    </row>
    <row r="514" spans="1:21" x14ac:dyDescent="0.3">
      <c r="A514" s="13">
        <v>92</v>
      </c>
      <c r="B514" s="13" t="str">
        <f>+VLOOKUP(A514,'[1]PA 2023'!$A$8:$E$84,5)</f>
        <v>Mantener a 1.656 personas mayores vulnerables con atencion integral en instituciones especializadas a través de las modalidades centros vida y centros de bienestar en el marco de la Ley 1276 de 2009.</v>
      </c>
      <c r="C514" s="14">
        <v>2020680010040</v>
      </c>
      <c r="D514" s="14" t="str">
        <f>+VLOOKUP(C514,'[1]PA 2023'!$G$8:$H$84,2,FALSE)</f>
        <v>IMPLEMENTACIÓN DE ACCIONES TENDIENTES A MEJORAR LAS CONDICIONES DE LOS ADULTOS MAYORES DEL MUNICIPIO DE BUCARAMANGA</v>
      </c>
      <c r="E514" s="13" t="s">
        <v>432</v>
      </c>
      <c r="F514" s="15">
        <v>160</v>
      </c>
      <c r="G514" s="22" t="s">
        <v>184</v>
      </c>
      <c r="H514" s="21" t="s">
        <v>185</v>
      </c>
      <c r="I514" s="13" t="s">
        <v>179</v>
      </c>
      <c r="J514" s="13" t="s">
        <v>384</v>
      </c>
      <c r="K514" s="16">
        <v>45065</v>
      </c>
      <c r="L514" s="17">
        <v>-1862000</v>
      </c>
      <c r="M514" s="17">
        <v>-1862000</v>
      </c>
      <c r="N514" s="18">
        <v>0</v>
      </c>
      <c r="O514" s="22" t="s">
        <v>433</v>
      </c>
      <c r="Q514" s="13">
        <v>1845</v>
      </c>
      <c r="R514" s="23" t="s">
        <v>386</v>
      </c>
      <c r="S514" s="13" t="s">
        <v>182</v>
      </c>
      <c r="T514" s="13" t="s">
        <v>16</v>
      </c>
      <c r="U514" s="26">
        <v>0</v>
      </c>
    </row>
    <row r="515" spans="1:21" x14ac:dyDescent="0.3">
      <c r="A515" s="13">
        <v>92</v>
      </c>
      <c r="B515" s="13" t="str">
        <f>+VLOOKUP(A515,'[1]PA 2023'!$A$8:$E$84,5)</f>
        <v>Mantener a 1.656 personas mayores vulnerables con atencion integral en instituciones especializadas a través de las modalidades centros vida y centros de bienestar en el marco de la Ley 1276 de 2009.</v>
      </c>
      <c r="C515" s="14">
        <v>2020680010040</v>
      </c>
      <c r="D515" s="14" t="str">
        <f>+VLOOKUP(C515,'[1]PA 2023'!$G$8:$H$84,2,FALSE)</f>
        <v>IMPLEMENTACIÓN DE ACCIONES TENDIENTES A MEJORAR LAS CONDICIONES DE LOS ADULTOS MAYORES DEL MUNICIPIO DE BUCARAMANGA</v>
      </c>
      <c r="E515" s="13" t="s">
        <v>432</v>
      </c>
      <c r="F515" s="15">
        <v>160</v>
      </c>
      <c r="G515" s="22" t="s">
        <v>184</v>
      </c>
      <c r="H515" s="21" t="s">
        <v>185</v>
      </c>
      <c r="I515" s="13" t="s">
        <v>179</v>
      </c>
      <c r="J515" s="13" t="s">
        <v>372</v>
      </c>
      <c r="K515" s="16">
        <v>45065</v>
      </c>
      <c r="L515" s="17">
        <v>-2976700</v>
      </c>
      <c r="M515" s="17">
        <v>-2976700</v>
      </c>
      <c r="N515" s="18">
        <v>0</v>
      </c>
      <c r="O515" s="22" t="s">
        <v>433</v>
      </c>
      <c r="Q515" s="13">
        <v>1846</v>
      </c>
      <c r="R515" s="23" t="s">
        <v>374</v>
      </c>
      <c r="S515" s="13" t="s">
        <v>182</v>
      </c>
      <c r="T515" s="13" t="s">
        <v>16</v>
      </c>
      <c r="U515" s="26">
        <v>0</v>
      </c>
    </row>
    <row r="516" spans="1:21" x14ac:dyDescent="0.3">
      <c r="A516" s="13">
        <v>92</v>
      </c>
      <c r="B516" s="13" t="str">
        <f>+VLOOKUP(A516,'[1]PA 2023'!$A$8:$E$84,5)</f>
        <v>Mantener a 1.656 personas mayores vulnerables con atencion integral en instituciones especializadas a través de las modalidades centros vida y centros de bienestar en el marco de la Ley 1276 de 2009.</v>
      </c>
      <c r="C516" s="14">
        <v>2020680010040</v>
      </c>
      <c r="D516" s="14" t="str">
        <f>+VLOOKUP(C516,'[1]PA 2023'!$G$8:$H$84,2,FALSE)</f>
        <v>IMPLEMENTACIÓN DE ACCIONES TENDIENTES A MEJORAR LAS CONDICIONES DE LOS ADULTOS MAYORES DEL MUNICIPIO DE BUCARAMANGA</v>
      </c>
      <c r="E516" s="13" t="s">
        <v>478</v>
      </c>
      <c r="F516" s="15">
        <v>157</v>
      </c>
      <c r="G516" s="22" t="s">
        <v>184</v>
      </c>
      <c r="H516" s="21" t="s">
        <v>185</v>
      </c>
      <c r="I516" s="13" t="s">
        <v>479</v>
      </c>
      <c r="J516" s="13" t="s">
        <v>384</v>
      </c>
      <c r="K516" s="16">
        <v>45065</v>
      </c>
      <c r="L516" s="17">
        <v>-10878000</v>
      </c>
      <c r="M516" s="17">
        <v>-10878000</v>
      </c>
      <c r="N516" s="18">
        <v>0</v>
      </c>
      <c r="O516" s="22" t="s">
        <v>480</v>
      </c>
      <c r="Q516" s="13">
        <v>1957</v>
      </c>
      <c r="R516" s="23" t="s">
        <v>386</v>
      </c>
      <c r="S516" s="13" t="s">
        <v>481</v>
      </c>
      <c r="T516" s="13" t="s">
        <v>16</v>
      </c>
      <c r="U516" s="26">
        <v>0</v>
      </c>
    </row>
    <row r="517" spans="1:21" x14ac:dyDescent="0.3">
      <c r="A517" s="13">
        <v>92</v>
      </c>
      <c r="B517" s="13" t="str">
        <f>+VLOOKUP(A517,'[1]PA 2023'!$A$8:$E$84,5)</f>
        <v>Mantener a 1.656 personas mayores vulnerables con atencion integral en instituciones especializadas a través de las modalidades centros vida y centros de bienestar en el marco de la Ley 1276 de 2009.</v>
      </c>
      <c r="C517" s="14">
        <v>2020680010040</v>
      </c>
      <c r="D517" s="14" t="str">
        <f>+VLOOKUP(C517,'[1]PA 2023'!$G$8:$H$84,2,FALSE)</f>
        <v>IMPLEMENTACIÓN DE ACCIONES TENDIENTES A MEJORAR LAS CONDICIONES DE LOS ADULTOS MAYORES DEL MUNICIPIO DE BUCARAMANGA</v>
      </c>
      <c r="E517" s="13" t="s">
        <v>478</v>
      </c>
      <c r="F517" s="15">
        <v>157</v>
      </c>
      <c r="G517" s="22" t="s">
        <v>184</v>
      </c>
      <c r="H517" s="21" t="s">
        <v>185</v>
      </c>
      <c r="I517" s="13" t="s">
        <v>479</v>
      </c>
      <c r="J517" s="13" t="s">
        <v>372</v>
      </c>
      <c r="K517" s="16">
        <v>45065</v>
      </c>
      <c r="L517" s="17">
        <v>-329600</v>
      </c>
      <c r="M517" s="17">
        <v>-329600</v>
      </c>
      <c r="N517" s="18">
        <v>0</v>
      </c>
      <c r="O517" s="22" t="s">
        <v>480</v>
      </c>
      <c r="Q517" s="13">
        <v>1958</v>
      </c>
      <c r="R517" s="23" t="s">
        <v>374</v>
      </c>
      <c r="S517" s="13" t="s">
        <v>481</v>
      </c>
      <c r="T517" s="13" t="s">
        <v>16</v>
      </c>
      <c r="U517" s="26">
        <v>0</v>
      </c>
    </row>
    <row r="518" spans="1:21" x14ac:dyDescent="0.3">
      <c r="A518" s="13">
        <v>300</v>
      </c>
      <c r="B518" s="13" t="str">
        <f>+VLOOKUP(A518,'[1]PA 2023'!$A$8:$E$84,5)</f>
        <v>Mantener el 100% de los programas que desarrolla la Administración Central.</v>
      </c>
      <c r="C518" s="14">
        <v>2020680010025</v>
      </c>
      <c r="D518" s="14" t="str">
        <f>+VLOOKUP(C518,'[1]PA 2023'!$G$8:$H$84,2,FALSE)</f>
        <v>MEJORAMIENTO DE LOS PROCESOS TRANSVERSALES PARA UNA ADMINISTRACIÓN PUBLICA MODERNA Y EFICIENTE EN LA SECRETARÍA DE DESARROLLO SOCIAL DEL MUNICIPIO BUCARAMANGA</v>
      </c>
      <c r="E518" s="13" t="s">
        <v>1327</v>
      </c>
      <c r="F518" s="15">
        <v>563</v>
      </c>
      <c r="G518" s="21" t="s">
        <v>43</v>
      </c>
      <c r="H518" s="21" t="s">
        <v>36</v>
      </c>
      <c r="I518" s="13" t="s">
        <v>100</v>
      </c>
      <c r="J518" s="13" t="s">
        <v>38</v>
      </c>
      <c r="K518" s="16">
        <v>45065</v>
      </c>
      <c r="L518" s="17">
        <v>1833333</v>
      </c>
      <c r="M518" s="17">
        <v>1833333</v>
      </c>
      <c r="N518" s="18">
        <v>1833333</v>
      </c>
      <c r="O518" s="22" t="s">
        <v>101</v>
      </c>
      <c r="Q518" s="13">
        <v>5484</v>
      </c>
      <c r="R518" s="13" t="s">
        <v>40</v>
      </c>
      <c r="S518" s="13" t="s">
        <v>102</v>
      </c>
      <c r="T518" s="13" t="s">
        <v>16</v>
      </c>
      <c r="U518" s="17">
        <f t="shared" ref="U518:U548" si="19">+M518-N518</f>
        <v>0</v>
      </c>
    </row>
    <row r="519" spans="1:21" x14ac:dyDescent="0.3">
      <c r="A519" s="13">
        <v>300</v>
      </c>
      <c r="B519" s="13" t="str">
        <f>+VLOOKUP(A519,'[1]PA 2023'!$A$8:$E$84,5)</f>
        <v>Mantener el 100% de los programas que desarrolla la Administración Central.</v>
      </c>
      <c r="C519" s="14">
        <v>2020680010025</v>
      </c>
      <c r="D519" s="14" t="str">
        <f>+VLOOKUP(C519,'[1]PA 2023'!$G$8:$H$84,2,FALSE)</f>
        <v>MEJORAMIENTO DE LOS PROCESOS TRANSVERSALES PARA UNA ADMINISTRACIÓN PUBLICA MODERNA Y EFICIENTE EN LA SECRETARÍA DE DESARROLLO SOCIAL DEL MUNICIPIO BUCARAMANGA</v>
      </c>
      <c r="E519" s="13" t="s">
        <v>1328</v>
      </c>
      <c r="F519" s="15">
        <v>480</v>
      </c>
      <c r="G519" s="21" t="s">
        <v>43</v>
      </c>
      <c r="H519" s="21" t="s">
        <v>36</v>
      </c>
      <c r="I519" s="13" t="s">
        <v>48</v>
      </c>
      <c r="J519" s="13" t="s">
        <v>38</v>
      </c>
      <c r="K519" s="16">
        <v>45065</v>
      </c>
      <c r="L519" s="17">
        <v>1466666.67</v>
      </c>
      <c r="M519" s="17">
        <v>1466666.67</v>
      </c>
      <c r="N519" s="18">
        <v>1466666.67</v>
      </c>
      <c r="O519" s="22" t="s">
        <v>49</v>
      </c>
      <c r="Q519" s="13">
        <v>5485</v>
      </c>
      <c r="R519" s="13" t="s">
        <v>40</v>
      </c>
      <c r="S519" s="13" t="s">
        <v>50</v>
      </c>
      <c r="T519" s="13" t="s">
        <v>16</v>
      </c>
      <c r="U519" s="17">
        <f t="shared" si="19"/>
        <v>0</v>
      </c>
    </row>
    <row r="520" spans="1:21" x14ac:dyDescent="0.3">
      <c r="A520" s="13">
        <v>300</v>
      </c>
      <c r="B520" s="13" t="str">
        <f>+VLOOKUP(A520,'[1]PA 2023'!$A$8:$E$84,5)</f>
        <v>Mantener el 100% de los programas que desarrolla la Administración Central.</v>
      </c>
      <c r="C520" s="14">
        <v>2020680010025</v>
      </c>
      <c r="D520" s="14" t="str">
        <f>+VLOOKUP(C520,'[1]PA 2023'!$G$8:$H$84,2,FALSE)</f>
        <v>MEJORAMIENTO DE LOS PROCESOS TRANSVERSALES PARA UNA ADMINISTRACIÓN PUBLICA MODERNA Y EFICIENTE EN LA SECRETARÍA DE DESARROLLO SOCIAL DEL MUNICIPIO BUCARAMANGA</v>
      </c>
      <c r="E520" s="13" t="s">
        <v>1329</v>
      </c>
      <c r="F520" s="15">
        <v>489</v>
      </c>
      <c r="G520" s="21" t="s">
        <v>43</v>
      </c>
      <c r="H520" s="21" t="s">
        <v>36</v>
      </c>
      <c r="I520" s="13" t="s">
        <v>77</v>
      </c>
      <c r="J520" s="13" t="s">
        <v>38</v>
      </c>
      <c r="K520" s="16">
        <v>45065</v>
      </c>
      <c r="L520" s="17">
        <v>1906666.67</v>
      </c>
      <c r="M520" s="17">
        <v>1906666.67</v>
      </c>
      <c r="N520" s="18">
        <v>1906666.67</v>
      </c>
      <c r="O520" s="22" t="s">
        <v>78</v>
      </c>
      <c r="Q520" s="13">
        <v>5486</v>
      </c>
      <c r="R520" s="13" t="s">
        <v>40</v>
      </c>
      <c r="S520" s="13" t="s">
        <v>79</v>
      </c>
      <c r="T520" s="13" t="s">
        <v>16</v>
      </c>
      <c r="U520" s="17">
        <f t="shared" si="19"/>
        <v>0</v>
      </c>
    </row>
    <row r="521" spans="1:21" x14ac:dyDescent="0.3">
      <c r="A521" s="13">
        <v>300</v>
      </c>
      <c r="B521" s="13" t="str">
        <f>+VLOOKUP(A521,'[1]PA 2023'!$A$8:$E$84,5)</f>
        <v>Mantener el 100% de los programas que desarrolla la Administración Central.</v>
      </c>
      <c r="C521" s="14">
        <v>2020680010025</v>
      </c>
      <c r="D521" s="14" t="str">
        <f>+VLOOKUP(C521,'[1]PA 2023'!$G$8:$H$84,2,FALSE)</f>
        <v>MEJORAMIENTO DE LOS PROCESOS TRANSVERSALES PARA UNA ADMINISTRACIÓN PUBLICA MODERNA Y EFICIENTE EN LA SECRETARÍA DE DESARROLLO SOCIAL DEL MUNICIPIO BUCARAMANGA</v>
      </c>
      <c r="E521" s="13" t="s">
        <v>1330</v>
      </c>
      <c r="F521" s="15">
        <v>617</v>
      </c>
      <c r="G521" s="21" t="s">
        <v>43</v>
      </c>
      <c r="H521" s="21" t="s">
        <v>36</v>
      </c>
      <c r="I521" s="13" t="s">
        <v>116</v>
      </c>
      <c r="J521" s="13" t="s">
        <v>61</v>
      </c>
      <c r="K521" s="16">
        <v>45065</v>
      </c>
      <c r="L521" s="17">
        <v>816666.66</v>
      </c>
      <c r="M521" s="17">
        <v>816666.66</v>
      </c>
      <c r="N521" s="18">
        <v>816666.66</v>
      </c>
      <c r="O521" s="22" t="s">
        <v>117</v>
      </c>
      <c r="Q521" s="13">
        <v>5487</v>
      </c>
      <c r="R521" s="13" t="s">
        <v>63</v>
      </c>
      <c r="S521" s="13" t="s">
        <v>118</v>
      </c>
      <c r="T521" s="13" t="s">
        <v>16</v>
      </c>
      <c r="U521" s="17">
        <f t="shared" si="19"/>
        <v>0</v>
      </c>
    </row>
    <row r="522" spans="1:21" x14ac:dyDescent="0.3">
      <c r="A522" s="13">
        <v>300</v>
      </c>
      <c r="B522" s="13" t="str">
        <f>+VLOOKUP(A522,'[1]PA 2023'!$A$8:$E$84,5)</f>
        <v>Mantener el 100% de los programas que desarrolla la Administración Central.</v>
      </c>
      <c r="C522" s="14">
        <v>2020680010025</v>
      </c>
      <c r="D522" s="14" t="str">
        <f>+VLOOKUP(C522,'[1]PA 2023'!$G$8:$H$84,2,FALSE)</f>
        <v>MEJORAMIENTO DE LOS PROCESOS TRANSVERSALES PARA UNA ADMINISTRACIÓN PUBLICA MODERNA Y EFICIENTE EN LA SECRETARÍA DE DESARROLLO SOCIAL DEL MUNICIPIO BUCARAMANGA</v>
      </c>
      <c r="E522" s="13" t="s">
        <v>1331</v>
      </c>
      <c r="F522" s="15">
        <v>484</v>
      </c>
      <c r="G522" s="21" t="s">
        <v>43</v>
      </c>
      <c r="H522" s="21" t="s">
        <v>36</v>
      </c>
      <c r="I522" s="13" t="s">
        <v>66</v>
      </c>
      <c r="J522" s="13" t="s">
        <v>38</v>
      </c>
      <c r="K522" s="16">
        <v>45065</v>
      </c>
      <c r="L522" s="17">
        <v>1466666.67</v>
      </c>
      <c r="M522" s="17">
        <v>1466666.67</v>
      </c>
      <c r="N522" s="18">
        <v>1466666.67</v>
      </c>
      <c r="O522" s="22" t="s">
        <v>67</v>
      </c>
      <c r="Q522" s="13">
        <v>5488</v>
      </c>
      <c r="R522" s="13" t="s">
        <v>40</v>
      </c>
      <c r="S522" s="13" t="s">
        <v>68</v>
      </c>
      <c r="T522" s="13" t="s">
        <v>16</v>
      </c>
      <c r="U522" s="17">
        <f t="shared" si="19"/>
        <v>0</v>
      </c>
    </row>
    <row r="523" spans="1:21" x14ac:dyDescent="0.3">
      <c r="A523" s="13">
        <v>300</v>
      </c>
      <c r="B523" s="13" t="str">
        <f>+VLOOKUP(A523,'[1]PA 2023'!$A$8:$E$84,5)</f>
        <v>Mantener el 100% de los programas que desarrolla la Administración Central.</v>
      </c>
      <c r="C523" s="14">
        <v>2020680010025</v>
      </c>
      <c r="D523" s="14" t="str">
        <f>+VLOOKUP(C523,'[1]PA 2023'!$G$8:$H$84,2,FALSE)</f>
        <v>MEJORAMIENTO DE LOS PROCESOS TRANSVERSALES PARA UNA ADMINISTRACIÓN PUBLICA MODERNA Y EFICIENTE EN LA SECRETARÍA DE DESARROLLO SOCIAL DEL MUNICIPIO BUCARAMANGA</v>
      </c>
      <c r="E523" s="13" t="s">
        <v>1332</v>
      </c>
      <c r="F523" s="15">
        <v>560</v>
      </c>
      <c r="G523" s="21" t="s">
        <v>43</v>
      </c>
      <c r="H523" s="21" t="s">
        <v>36</v>
      </c>
      <c r="I523" s="13" t="s">
        <v>89</v>
      </c>
      <c r="J523" s="13" t="s">
        <v>38</v>
      </c>
      <c r="K523" s="16">
        <v>45065</v>
      </c>
      <c r="L523" s="17">
        <v>1333333</v>
      </c>
      <c r="M523" s="17">
        <v>1333333</v>
      </c>
      <c r="N523" s="18">
        <v>1333333</v>
      </c>
      <c r="O523" s="22" t="s">
        <v>90</v>
      </c>
      <c r="Q523" s="13">
        <v>5489</v>
      </c>
      <c r="R523" s="13" t="s">
        <v>40</v>
      </c>
      <c r="S523" s="13" t="s">
        <v>91</v>
      </c>
      <c r="T523" s="13" t="s">
        <v>16</v>
      </c>
      <c r="U523" s="17">
        <f t="shared" si="19"/>
        <v>0</v>
      </c>
    </row>
    <row r="524" spans="1:21" x14ac:dyDescent="0.3">
      <c r="A524" s="13">
        <v>300</v>
      </c>
      <c r="B524" s="13" t="str">
        <f>+VLOOKUP(A524,'[1]PA 2023'!$A$8:$E$84,5)</f>
        <v>Mantener el 100% de los programas que desarrolla la Administración Central.</v>
      </c>
      <c r="C524" s="14">
        <v>2020680010025</v>
      </c>
      <c r="D524" s="14" t="str">
        <f>+VLOOKUP(C524,'[1]PA 2023'!$G$8:$H$84,2,FALSE)</f>
        <v>MEJORAMIENTO DE LOS PROCESOS TRANSVERSALES PARA UNA ADMINISTRACIÓN PUBLICA MODERNA Y EFICIENTE EN LA SECRETARÍA DE DESARROLLO SOCIAL DEL MUNICIPIO BUCARAMANGA</v>
      </c>
      <c r="E524" s="13" t="s">
        <v>1333</v>
      </c>
      <c r="F524" s="15">
        <v>517</v>
      </c>
      <c r="G524" s="21" t="s">
        <v>43</v>
      </c>
      <c r="H524" s="21" t="s">
        <v>36</v>
      </c>
      <c r="I524" s="13" t="s">
        <v>81</v>
      </c>
      <c r="J524" s="13" t="s">
        <v>38</v>
      </c>
      <c r="K524" s="16">
        <v>45065</v>
      </c>
      <c r="L524" s="17">
        <v>1500000</v>
      </c>
      <c r="M524" s="17">
        <v>1500000</v>
      </c>
      <c r="N524" s="18">
        <v>1500000</v>
      </c>
      <c r="O524" s="22" t="s">
        <v>82</v>
      </c>
      <c r="Q524" s="13">
        <v>5490</v>
      </c>
      <c r="R524" s="13" t="s">
        <v>40</v>
      </c>
      <c r="S524" s="13" t="s">
        <v>83</v>
      </c>
      <c r="T524" s="13" t="s">
        <v>16</v>
      </c>
      <c r="U524" s="17">
        <f t="shared" si="19"/>
        <v>0</v>
      </c>
    </row>
    <row r="525" spans="1:21" x14ac:dyDescent="0.3">
      <c r="A525" s="13">
        <v>300</v>
      </c>
      <c r="B525" s="13" t="str">
        <f>+VLOOKUP(A525,'[1]PA 2023'!$A$8:$E$84,5)</f>
        <v>Mantener el 100% de los programas que desarrolla la Administración Central.</v>
      </c>
      <c r="C525" s="14">
        <v>2020680010025</v>
      </c>
      <c r="D525" s="14" t="str">
        <f>+VLOOKUP(C525,'[1]PA 2023'!$G$8:$H$84,2,FALSE)</f>
        <v>MEJORAMIENTO DE LOS PROCESOS TRANSVERSALES PARA UNA ADMINISTRACIÓN PUBLICA MODERNA Y EFICIENTE EN LA SECRETARÍA DE DESARROLLO SOCIAL DEL MUNICIPIO BUCARAMANGA</v>
      </c>
      <c r="E525" s="13" t="s">
        <v>1334</v>
      </c>
      <c r="F525" s="15">
        <v>491</v>
      </c>
      <c r="G525" s="21" t="s">
        <v>43</v>
      </c>
      <c r="H525" s="21" t="s">
        <v>36</v>
      </c>
      <c r="I525" s="13" t="s">
        <v>60</v>
      </c>
      <c r="J525" s="13" t="s">
        <v>61</v>
      </c>
      <c r="K525" s="16">
        <v>45065</v>
      </c>
      <c r="L525" s="17">
        <v>1466666.67</v>
      </c>
      <c r="M525" s="17">
        <v>1466666.67</v>
      </c>
      <c r="N525" s="18">
        <v>1466666.67</v>
      </c>
      <c r="O525" s="22" t="s">
        <v>62</v>
      </c>
      <c r="Q525" s="13">
        <v>5491</v>
      </c>
      <c r="R525" s="13" t="s">
        <v>63</v>
      </c>
      <c r="S525" s="13" t="s">
        <v>64</v>
      </c>
      <c r="T525" s="13" t="s">
        <v>16</v>
      </c>
      <c r="U525" s="17">
        <f t="shared" si="19"/>
        <v>0</v>
      </c>
    </row>
    <row r="526" spans="1:21" x14ac:dyDescent="0.3">
      <c r="A526" s="13">
        <v>300</v>
      </c>
      <c r="B526" s="13" t="str">
        <f>+VLOOKUP(A526,'[1]PA 2023'!$A$8:$E$84,5)</f>
        <v>Mantener el 100% de los programas que desarrolla la Administración Central.</v>
      </c>
      <c r="C526" s="14">
        <v>2020680010025</v>
      </c>
      <c r="D526" s="14" t="str">
        <f>+VLOOKUP(C526,'[1]PA 2023'!$G$8:$H$84,2,FALSE)</f>
        <v>MEJORAMIENTO DE LOS PROCESOS TRANSVERSALES PARA UNA ADMINISTRACIÓN PUBLICA MODERNA Y EFICIENTE EN LA SECRETARÍA DE DESARROLLO SOCIAL DEL MUNICIPIO BUCARAMANGA</v>
      </c>
      <c r="E526" s="13" t="s">
        <v>1335</v>
      </c>
      <c r="F526" s="15">
        <v>483</v>
      </c>
      <c r="G526" s="21" t="s">
        <v>43</v>
      </c>
      <c r="H526" s="21" t="s">
        <v>36</v>
      </c>
      <c r="I526" s="13" t="s">
        <v>73</v>
      </c>
      <c r="J526" s="13" t="s">
        <v>38</v>
      </c>
      <c r="K526" s="16">
        <v>45065</v>
      </c>
      <c r="L526" s="17">
        <v>1466666.67</v>
      </c>
      <c r="M526" s="17">
        <v>1466666.67</v>
      </c>
      <c r="N526" s="18">
        <v>1466666.67</v>
      </c>
      <c r="O526" s="22" t="s">
        <v>74</v>
      </c>
      <c r="Q526" s="13">
        <v>5492</v>
      </c>
      <c r="R526" s="13" t="s">
        <v>40</v>
      </c>
      <c r="S526" s="13" t="s">
        <v>75</v>
      </c>
      <c r="T526" s="13" t="s">
        <v>16</v>
      </c>
      <c r="U526" s="17">
        <f t="shared" si="19"/>
        <v>0</v>
      </c>
    </row>
    <row r="527" spans="1:21" x14ac:dyDescent="0.3">
      <c r="A527" s="13">
        <v>300</v>
      </c>
      <c r="B527" s="13" t="str">
        <f>+VLOOKUP(A527,'[1]PA 2023'!$A$8:$E$84,5)</f>
        <v>Mantener el 100% de los programas que desarrolla la Administración Central.</v>
      </c>
      <c r="C527" s="14">
        <v>2020680010025</v>
      </c>
      <c r="D527" s="14" t="str">
        <f>+VLOOKUP(C527,'[1]PA 2023'!$G$8:$H$84,2,FALSE)</f>
        <v>MEJORAMIENTO DE LOS PROCESOS TRANSVERSALES PARA UNA ADMINISTRACIÓN PUBLICA MODERNA Y EFICIENTE EN LA SECRETARÍA DE DESARROLLO SOCIAL DEL MUNICIPIO BUCARAMANGA</v>
      </c>
      <c r="E527" s="13" t="s">
        <v>1336</v>
      </c>
      <c r="F527" s="15">
        <v>482</v>
      </c>
      <c r="G527" s="21" t="s">
        <v>43</v>
      </c>
      <c r="H527" s="21" t="s">
        <v>36</v>
      </c>
      <c r="I527" s="13" t="s">
        <v>52</v>
      </c>
      <c r="J527" s="13" t="s">
        <v>38</v>
      </c>
      <c r="K527" s="16">
        <v>45065</v>
      </c>
      <c r="L527" s="17">
        <v>1466666.67</v>
      </c>
      <c r="M527" s="17">
        <v>1466666.67</v>
      </c>
      <c r="N527" s="18">
        <v>1466666.67</v>
      </c>
      <c r="O527" s="22" t="s">
        <v>53</v>
      </c>
      <c r="Q527" s="13">
        <v>5493</v>
      </c>
      <c r="R527" s="13" t="s">
        <v>40</v>
      </c>
      <c r="S527" s="13" t="s">
        <v>54</v>
      </c>
      <c r="T527" s="13" t="s">
        <v>16</v>
      </c>
      <c r="U527" s="17">
        <f t="shared" si="19"/>
        <v>0</v>
      </c>
    </row>
    <row r="528" spans="1:21" x14ac:dyDescent="0.3">
      <c r="A528" s="13">
        <v>300</v>
      </c>
      <c r="B528" s="13" t="str">
        <f>+VLOOKUP(A528,'[1]PA 2023'!$A$8:$E$84,5)</f>
        <v>Mantener el 100% de los programas que desarrolla la Administración Central.</v>
      </c>
      <c r="C528" s="14">
        <v>2020680010025</v>
      </c>
      <c r="D528" s="14" t="str">
        <f>+VLOOKUP(C528,'[1]PA 2023'!$G$8:$H$84,2,FALSE)</f>
        <v>MEJORAMIENTO DE LOS PROCESOS TRANSVERSALES PARA UNA ADMINISTRACIÓN PUBLICA MODERNA Y EFICIENTE EN LA SECRETARÍA DE DESARROLLO SOCIAL DEL MUNICIPIO BUCARAMANGA</v>
      </c>
      <c r="E528" s="13" t="s">
        <v>1337</v>
      </c>
      <c r="F528" s="15">
        <v>481</v>
      </c>
      <c r="G528" s="21" t="s">
        <v>43</v>
      </c>
      <c r="H528" s="21" t="s">
        <v>36</v>
      </c>
      <c r="I528" s="13" t="s">
        <v>44</v>
      </c>
      <c r="J528" s="13" t="s">
        <v>38</v>
      </c>
      <c r="K528" s="16">
        <v>45065</v>
      </c>
      <c r="L528" s="17">
        <v>1466666.67</v>
      </c>
      <c r="M528" s="17">
        <v>1466666.67</v>
      </c>
      <c r="N528" s="18">
        <v>1466666.67</v>
      </c>
      <c r="O528" s="22" t="s">
        <v>45</v>
      </c>
      <c r="Q528" s="13">
        <v>5494</v>
      </c>
      <c r="R528" s="13" t="s">
        <v>40</v>
      </c>
      <c r="S528" s="13" t="s">
        <v>46</v>
      </c>
      <c r="T528" s="13" t="s">
        <v>16</v>
      </c>
      <c r="U528" s="17">
        <f t="shared" si="19"/>
        <v>0</v>
      </c>
    </row>
    <row r="529" spans="1:21" x14ac:dyDescent="0.3">
      <c r="A529" s="13">
        <v>300</v>
      </c>
      <c r="B529" s="13" t="str">
        <f>+VLOOKUP(A529,'[1]PA 2023'!$A$8:$E$84,5)</f>
        <v>Mantener el 100% de los programas que desarrolla la Administración Central.</v>
      </c>
      <c r="C529" s="14">
        <v>2020680010025</v>
      </c>
      <c r="D529" s="14" t="str">
        <f>+VLOOKUP(C529,'[1]PA 2023'!$G$8:$H$84,2,FALSE)</f>
        <v>MEJORAMIENTO DE LOS PROCESOS TRANSVERSALES PARA UNA ADMINISTRACIÓN PUBLICA MODERNA Y EFICIENTE EN LA SECRETARÍA DE DESARROLLO SOCIAL DEL MUNICIPIO BUCARAMANGA</v>
      </c>
      <c r="E529" s="13" t="s">
        <v>1338</v>
      </c>
      <c r="F529" s="15">
        <v>479</v>
      </c>
      <c r="G529" s="21" t="s">
        <v>35</v>
      </c>
      <c r="H529" s="21" t="s">
        <v>36</v>
      </c>
      <c r="I529" s="13" t="s">
        <v>37</v>
      </c>
      <c r="J529" s="13" t="s">
        <v>38</v>
      </c>
      <c r="K529" s="16">
        <v>45065</v>
      </c>
      <c r="L529" s="17">
        <v>1100000</v>
      </c>
      <c r="M529" s="17">
        <v>1100000</v>
      </c>
      <c r="N529" s="18">
        <v>1100000</v>
      </c>
      <c r="O529" s="22" t="s">
        <v>39</v>
      </c>
      <c r="Q529" s="13">
        <v>5495</v>
      </c>
      <c r="R529" s="13" t="s">
        <v>40</v>
      </c>
      <c r="S529" s="13" t="s">
        <v>41</v>
      </c>
      <c r="T529" s="13" t="s">
        <v>16</v>
      </c>
      <c r="U529" s="17">
        <f t="shared" si="19"/>
        <v>0</v>
      </c>
    </row>
    <row r="530" spans="1:21" x14ac:dyDescent="0.3">
      <c r="A530" s="13">
        <v>300</v>
      </c>
      <c r="B530" s="13" t="str">
        <f>+VLOOKUP(A530,'[1]PA 2023'!$A$8:$E$84,5)</f>
        <v>Mantener el 100% de los programas que desarrolla la Administración Central.</v>
      </c>
      <c r="C530" s="14">
        <v>2020680010025</v>
      </c>
      <c r="D530" s="14" t="str">
        <f>+VLOOKUP(C530,'[1]PA 2023'!$G$8:$H$84,2,FALSE)</f>
        <v>MEJORAMIENTO DE LOS PROCESOS TRANSVERSALES PARA UNA ADMINISTRACIÓN PUBLICA MODERNA Y EFICIENTE EN LA SECRETARÍA DE DESARROLLO SOCIAL DEL MUNICIPIO BUCARAMANGA</v>
      </c>
      <c r="E530" s="13" t="s">
        <v>1339</v>
      </c>
      <c r="F530" s="15">
        <v>562</v>
      </c>
      <c r="G530" s="21" t="s">
        <v>43</v>
      </c>
      <c r="H530" s="21" t="s">
        <v>36</v>
      </c>
      <c r="I530" s="13" t="s">
        <v>96</v>
      </c>
      <c r="J530" s="13" t="s">
        <v>61</v>
      </c>
      <c r="K530" s="16">
        <v>45065</v>
      </c>
      <c r="L530" s="17">
        <v>1386666.67</v>
      </c>
      <c r="M530" s="17">
        <v>1386666.67</v>
      </c>
      <c r="N530" s="18">
        <v>1386666.67</v>
      </c>
      <c r="O530" s="22" t="s">
        <v>97</v>
      </c>
      <c r="Q530" s="13">
        <v>5496</v>
      </c>
      <c r="R530" s="13" t="s">
        <v>63</v>
      </c>
      <c r="S530" s="13" t="s">
        <v>98</v>
      </c>
      <c r="T530" s="13" t="s">
        <v>16</v>
      </c>
      <c r="U530" s="17">
        <f t="shared" si="19"/>
        <v>0</v>
      </c>
    </row>
    <row r="531" spans="1:21" x14ac:dyDescent="0.3">
      <c r="A531" s="13">
        <v>300</v>
      </c>
      <c r="B531" s="13" t="str">
        <f>+VLOOKUP(A531,'[1]PA 2023'!$A$8:$E$84,5)</f>
        <v>Mantener el 100% de los programas que desarrolla la Administración Central.</v>
      </c>
      <c r="C531" s="14">
        <v>2020680010025</v>
      </c>
      <c r="D531" s="14" t="str">
        <f>+VLOOKUP(C531,'[1]PA 2023'!$G$8:$H$84,2,FALSE)</f>
        <v>MEJORAMIENTO DE LOS PROCESOS TRANSVERSALES PARA UNA ADMINISTRACIÓN PUBLICA MODERNA Y EFICIENTE EN LA SECRETARÍA DE DESARROLLO SOCIAL DEL MUNICIPIO BUCARAMANGA</v>
      </c>
      <c r="E531" s="13" t="s">
        <v>1340</v>
      </c>
      <c r="F531" s="15">
        <v>490</v>
      </c>
      <c r="G531" s="21" t="s">
        <v>43</v>
      </c>
      <c r="H531" s="21" t="s">
        <v>36</v>
      </c>
      <c r="I531" s="13" t="s">
        <v>56</v>
      </c>
      <c r="J531" s="13" t="s">
        <v>38</v>
      </c>
      <c r="K531" s="16">
        <v>45065</v>
      </c>
      <c r="L531" s="17">
        <v>1466666.67</v>
      </c>
      <c r="M531" s="17">
        <v>1466666.67</v>
      </c>
      <c r="N531" s="18">
        <v>1466666.67</v>
      </c>
      <c r="O531" s="22" t="s">
        <v>57</v>
      </c>
      <c r="Q531" s="13">
        <v>5497</v>
      </c>
      <c r="R531" s="13" t="s">
        <v>40</v>
      </c>
      <c r="S531" s="13" t="s">
        <v>58</v>
      </c>
      <c r="T531" s="13" t="s">
        <v>16</v>
      </c>
      <c r="U531" s="17">
        <f t="shared" si="19"/>
        <v>0</v>
      </c>
    </row>
    <row r="532" spans="1:21" x14ac:dyDescent="0.3">
      <c r="A532" s="13">
        <v>71</v>
      </c>
      <c r="B532" s="13" t="str">
        <f>+VLOOKUP(A532,'[1]PA 2023'!$A$8:$E$84,5)</f>
        <v>Formular e implementar 1 estrategia de corresponsabilidad en la garantía de derechos, la prevención de vulneración, amenaza o riesgo en el ámbito familiar, comunitario e institucional.</v>
      </c>
      <c r="C532" s="14">
        <v>2022680010056</v>
      </c>
      <c r="D532" s="14" t="str">
        <f>+VLOOKUP(C532,'[1]PA 2023'!$G$8:$H$84,2,FALSE)</f>
        <v>APOYO EN LOS PROCESOS DE ATENCIÓN INTEGRAL DE LOS NIÑOS Y NIÑAS EN EL ESPACIO DE CUIDADO Y ALBERGUE "CASA BÚHO" EN EL MUNICIPIO DE BUCARAMANGA</v>
      </c>
      <c r="E532" s="13" t="s">
        <v>1341</v>
      </c>
      <c r="F532" s="15" t="s">
        <v>22</v>
      </c>
      <c r="G532" s="22" t="s">
        <v>23</v>
      </c>
      <c r="H532" s="21" t="s">
        <v>23</v>
      </c>
      <c r="I532" s="13" t="s">
        <v>24</v>
      </c>
      <c r="J532" s="13" t="s">
        <v>970</v>
      </c>
      <c r="K532" s="16">
        <v>45065</v>
      </c>
      <c r="L532" s="17">
        <v>293680</v>
      </c>
      <c r="M532" s="17">
        <v>293680</v>
      </c>
      <c r="N532" s="18">
        <v>293680</v>
      </c>
      <c r="O532" s="15" t="s">
        <v>23</v>
      </c>
      <c r="Q532" s="13">
        <v>5500</v>
      </c>
      <c r="R532" s="13" t="s">
        <v>170</v>
      </c>
      <c r="S532" s="13" t="s">
        <v>27</v>
      </c>
      <c r="T532" s="13" t="s">
        <v>16</v>
      </c>
      <c r="U532" s="17">
        <f t="shared" si="19"/>
        <v>0</v>
      </c>
    </row>
    <row r="533" spans="1:21" x14ac:dyDescent="0.3">
      <c r="A533" s="13">
        <v>93</v>
      </c>
      <c r="B533" s="13" t="str">
        <f>+VLOOKUP(A533,'[1]PA 2023'!$A$8:$E$84,5)</f>
        <v>Mantener en funcionamiento los 3 Centros Vida con la prestacion de servicios integrales y/o dotacion de los mismos cumpliendo con la oferta institucional.</v>
      </c>
      <c r="C533" s="14">
        <v>2020680010040</v>
      </c>
      <c r="D533" s="14" t="str">
        <f>+VLOOKUP(C533,'[1]PA 2023'!$G$8:$H$84,2,FALSE)</f>
        <v>IMPLEMENTACIÓN DE ACCIONES TENDIENTES A MEJORAR LAS CONDICIONES DE LOS ADULTOS MAYORES DEL MUNICIPIO DE BUCARAMANGA</v>
      </c>
      <c r="E533" s="13" t="s">
        <v>1342</v>
      </c>
      <c r="F533" s="15" t="s">
        <v>22</v>
      </c>
      <c r="G533" s="22" t="s">
        <v>23</v>
      </c>
      <c r="H533" s="21" t="s">
        <v>23</v>
      </c>
      <c r="I533" s="13" t="s">
        <v>24</v>
      </c>
      <c r="J533" s="13" t="s">
        <v>25</v>
      </c>
      <c r="K533" s="16">
        <v>45065</v>
      </c>
      <c r="L533" s="17">
        <v>731440</v>
      </c>
      <c r="M533" s="17">
        <v>731440</v>
      </c>
      <c r="N533" s="18">
        <v>731440</v>
      </c>
      <c r="O533" s="15" t="s">
        <v>23</v>
      </c>
      <c r="Q533" s="13">
        <v>5501</v>
      </c>
      <c r="R533" s="13" t="s">
        <v>26</v>
      </c>
      <c r="S533" s="13" t="s">
        <v>27</v>
      </c>
      <c r="T533" s="13" t="s">
        <v>16</v>
      </c>
      <c r="U533" s="17">
        <f t="shared" si="19"/>
        <v>0</v>
      </c>
    </row>
    <row r="534" spans="1:21" x14ac:dyDescent="0.3">
      <c r="A534" s="13">
        <v>285</v>
      </c>
      <c r="B534" s="13" t="str">
        <f>+VLOOKUP(A534,'[1]PA 2023'!$A$8:$E$84,5)</f>
        <v>Mantener en funcionamiento el 100% de los salones comunales que hacen parte del programa Ágoras.</v>
      </c>
      <c r="C534" s="14">
        <v>2022680010029</v>
      </c>
      <c r="D534" s="14" t="str">
        <f>+VLOOKUP(C534,'[1]PA 2023'!$G$8:$H$84,2,FALSE)</f>
        <v>FORTALECIMIENTO DE LA PARTICIPACIÓN CIUDADANA EN EL MUNICIPIO DE BUCARAMANGA</v>
      </c>
      <c r="E534" s="13" t="s">
        <v>1343</v>
      </c>
      <c r="F534" s="15" t="s">
        <v>22</v>
      </c>
      <c r="G534" s="22" t="s">
        <v>23</v>
      </c>
      <c r="H534" s="21" t="s">
        <v>23</v>
      </c>
      <c r="I534" s="13" t="s">
        <v>24</v>
      </c>
      <c r="J534" s="13" t="s">
        <v>1130</v>
      </c>
      <c r="K534" s="16">
        <v>45065</v>
      </c>
      <c r="L534" s="17">
        <v>231900</v>
      </c>
      <c r="M534" s="17">
        <v>231900</v>
      </c>
      <c r="N534" s="18">
        <v>231900</v>
      </c>
      <c r="O534" s="15" t="s">
        <v>23</v>
      </c>
      <c r="Q534" s="13">
        <v>5502</v>
      </c>
      <c r="R534" s="13" t="s">
        <v>134</v>
      </c>
      <c r="S534" s="13" t="s">
        <v>27</v>
      </c>
      <c r="T534" s="13" t="s">
        <v>16</v>
      </c>
      <c r="U534" s="17">
        <f t="shared" si="19"/>
        <v>0</v>
      </c>
    </row>
    <row r="535" spans="1:21" x14ac:dyDescent="0.3">
      <c r="A535" s="13">
        <v>300</v>
      </c>
      <c r="B535" s="13" t="str">
        <f>+VLOOKUP(A535,'[1]PA 2023'!$A$8:$E$84,5)</f>
        <v>Mantener el 100% de los programas que desarrolla la Administración Central.</v>
      </c>
      <c r="C535" s="14">
        <v>2020680010025</v>
      </c>
      <c r="D535" s="14" t="str">
        <f>+VLOOKUP(C535,'[1]PA 2023'!$G$8:$H$84,2,FALSE)</f>
        <v>MEJORAMIENTO DE LOS PROCESOS TRANSVERSALES PARA UNA ADMINISTRACIÓN PUBLICA MODERNA Y EFICIENTE EN LA SECRETARÍA DE DESARROLLO SOCIAL DEL MUNICIPIO BUCARAMANGA</v>
      </c>
      <c r="E535" s="13" t="s">
        <v>1344</v>
      </c>
      <c r="F535" s="15">
        <v>549</v>
      </c>
      <c r="G535" s="21" t="s">
        <v>43</v>
      </c>
      <c r="H535" s="21" t="s">
        <v>36</v>
      </c>
      <c r="I535" s="13" t="s">
        <v>85</v>
      </c>
      <c r="J535" s="13" t="s">
        <v>38</v>
      </c>
      <c r="K535" s="16">
        <v>45066</v>
      </c>
      <c r="L535" s="17">
        <v>1333333</v>
      </c>
      <c r="M535" s="17">
        <v>1333333</v>
      </c>
      <c r="N535" s="18">
        <v>1333333</v>
      </c>
      <c r="O535" s="22" t="s">
        <v>86</v>
      </c>
      <c r="Q535" s="13">
        <v>5508</v>
      </c>
      <c r="R535" s="13" t="s">
        <v>40</v>
      </c>
      <c r="S535" s="13" t="s">
        <v>87</v>
      </c>
      <c r="T535" s="13" t="s">
        <v>16</v>
      </c>
      <c r="U535" s="17">
        <f t="shared" si="19"/>
        <v>0</v>
      </c>
    </row>
    <row r="536" spans="1:21" x14ac:dyDescent="0.3">
      <c r="A536" s="13">
        <v>300</v>
      </c>
      <c r="B536" s="13" t="str">
        <f>+VLOOKUP(A536,'[1]PA 2023'!$A$8:$E$84,5)</f>
        <v>Mantener el 100% de los programas que desarrolla la Administración Central.</v>
      </c>
      <c r="C536" s="14">
        <v>2020680010025</v>
      </c>
      <c r="D536" s="14" t="str">
        <f>+VLOOKUP(C536,'[1]PA 2023'!$G$8:$H$84,2,FALSE)</f>
        <v>MEJORAMIENTO DE LOS PROCESOS TRANSVERSALES PARA UNA ADMINISTRACIÓN PUBLICA MODERNA Y EFICIENTE EN LA SECRETARÍA DE DESARROLLO SOCIAL DEL MUNICIPIO BUCARAMANGA</v>
      </c>
      <c r="E536" s="13" t="s">
        <v>1345</v>
      </c>
      <c r="F536" s="15">
        <v>561</v>
      </c>
      <c r="G536" s="22" t="s">
        <v>1291</v>
      </c>
      <c r="H536" s="21" t="s">
        <v>36</v>
      </c>
      <c r="I536" s="13" t="s">
        <v>93</v>
      </c>
      <c r="J536" s="13" t="s">
        <v>38</v>
      </c>
      <c r="K536" s="16">
        <v>45066</v>
      </c>
      <c r="L536" s="17">
        <v>1000000</v>
      </c>
      <c r="M536" s="17">
        <v>1000000</v>
      </c>
      <c r="N536" s="18">
        <v>1000000</v>
      </c>
      <c r="O536" s="22" t="s">
        <v>94</v>
      </c>
      <c r="Q536" s="13">
        <v>5509</v>
      </c>
      <c r="R536" s="13" t="s">
        <v>40</v>
      </c>
      <c r="S536" s="13" t="s">
        <v>95</v>
      </c>
      <c r="T536" s="13" t="s">
        <v>16</v>
      </c>
      <c r="U536" s="17">
        <f t="shared" si="19"/>
        <v>0</v>
      </c>
    </row>
    <row r="537" spans="1:21" x14ac:dyDescent="0.3">
      <c r="A537" s="13">
        <v>300</v>
      </c>
      <c r="B537" s="13" t="str">
        <f>+VLOOKUP(A537,'[1]PA 2023'!$A$8:$E$84,5)</f>
        <v>Mantener el 100% de los programas que desarrolla la Administración Central.</v>
      </c>
      <c r="C537" s="14">
        <v>2020680010025</v>
      </c>
      <c r="D537" s="14" t="str">
        <f>+VLOOKUP(C537,'[1]PA 2023'!$G$8:$H$84,2,FALSE)</f>
        <v>MEJORAMIENTO DE LOS PROCESOS TRANSVERSALES PARA UNA ADMINISTRACIÓN PUBLICA MODERNA Y EFICIENTE EN LA SECRETARÍA DE DESARROLLO SOCIAL DEL MUNICIPIO BUCARAMANGA</v>
      </c>
      <c r="E537" s="13" t="s">
        <v>1346</v>
      </c>
      <c r="F537" s="15">
        <v>478</v>
      </c>
      <c r="G537" s="22" t="s">
        <v>1291</v>
      </c>
      <c r="H537" s="21" t="s">
        <v>36</v>
      </c>
      <c r="I537" s="13" t="s">
        <v>70</v>
      </c>
      <c r="J537" s="13" t="s">
        <v>38</v>
      </c>
      <c r="K537" s="16">
        <v>45066</v>
      </c>
      <c r="L537" s="17">
        <v>916667</v>
      </c>
      <c r="M537" s="17">
        <v>916667</v>
      </c>
      <c r="N537" s="18">
        <v>916667</v>
      </c>
      <c r="O537" s="22" t="s">
        <v>71</v>
      </c>
      <c r="Q537" s="13">
        <v>5510</v>
      </c>
      <c r="R537" s="13" t="s">
        <v>40</v>
      </c>
      <c r="S537" s="13" t="s">
        <v>72</v>
      </c>
      <c r="T537" s="13" t="s">
        <v>16</v>
      </c>
      <c r="U537" s="17">
        <f t="shared" si="19"/>
        <v>0</v>
      </c>
    </row>
    <row r="538" spans="1:21" x14ac:dyDescent="0.3">
      <c r="A538" s="13">
        <v>300</v>
      </c>
      <c r="B538" s="13" t="str">
        <f>+VLOOKUP(A538,'[1]PA 2023'!$A$8:$E$84,5)</f>
        <v>Mantener el 100% de los programas que desarrolla la Administración Central.</v>
      </c>
      <c r="C538" s="14">
        <v>2020680010025</v>
      </c>
      <c r="D538" s="14" t="str">
        <f>+VLOOKUP(C538,'[1]PA 2023'!$G$8:$H$84,2,FALSE)</f>
        <v>MEJORAMIENTO DE LOS PROCESOS TRANSVERSALES PARA UNA ADMINISTRACIÓN PUBLICA MODERNA Y EFICIENTE EN LA SECRETARÍA DE DESARROLLO SOCIAL DEL MUNICIPIO BUCARAMANGA</v>
      </c>
      <c r="E538" s="13" t="s">
        <v>1347</v>
      </c>
      <c r="F538" s="15">
        <v>576</v>
      </c>
      <c r="G538" s="22" t="s">
        <v>1291</v>
      </c>
      <c r="H538" s="21" t="s">
        <v>36</v>
      </c>
      <c r="I538" s="13" t="s">
        <v>108</v>
      </c>
      <c r="J538" s="13" t="s">
        <v>38</v>
      </c>
      <c r="K538" s="16">
        <v>45066</v>
      </c>
      <c r="L538" s="17">
        <v>766666.67</v>
      </c>
      <c r="M538" s="17">
        <v>766666.67</v>
      </c>
      <c r="N538" s="18">
        <v>766666.67</v>
      </c>
      <c r="O538" s="22" t="s">
        <v>109</v>
      </c>
      <c r="Q538" s="13">
        <v>5511</v>
      </c>
      <c r="R538" s="13" t="s">
        <v>40</v>
      </c>
      <c r="S538" s="13" t="s">
        <v>110</v>
      </c>
      <c r="T538" s="13" t="s">
        <v>16</v>
      </c>
      <c r="U538" s="17">
        <f t="shared" si="19"/>
        <v>0</v>
      </c>
    </row>
    <row r="539" spans="1:21" x14ac:dyDescent="0.3">
      <c r="A539" s="13">
        <v>93</v>
      </c>
      <c r="B539" s="13" t="str">
        <f>+VLOOKUP(A539,'[1]PA 2023'!$A$8:$E$84,5)</f>
        <v>Mantener en funcionamiento los 3 Centros Vida con la prestacion de servicios integrales y/o dotacion de los mismos cumpliendo con la oferta institucional.</v>
      </c>
      <c r="C539" s="14">
        <v>2020680010040</v>
      </c>
      <c r="D539" s="14" t="str">
        <f>+VLOOKUP(C539,'[1]PA 2023'!$G$8:$H$84,2,FALSE)</f>
        <v>IMPLEMENTACIÓN DE ACCIONES TENDIENTES A MEJORAR LAS CONDICIONES DE LOS ADULTOS MAYORES DEL MUNICIPIO DE BUCARAMANGA</v>
      </c>
      <c r="E539" s="13" t="s">
        <v>1348</v>
      </c>
      <c r="F539" s="15" t="s">
        <v>22</v>
      </c>
      <c r="G539" s="22" t="s">
        <v>23</v>
      </c>
      <c r="H539" s="21" t="s">
        <v>23</v>
      </c>
      <c r="I539" s="13" t="s">
        <v>470</v>
      </c>
      <c r="J539" s="13" t="s">
        <v>25</v>
      </c>
      <c r="K539" s="16">
        <v>45069</v>
      </c>
      <c r="L539" s="17">
        <v>579198</v>
      </c>
      <c r="M539" s="17">
        <v>579198</v>
      </c>
      <c r="N539" s="18">
        <v>579198</v>
      </c>
      <c r="O539" s="15" t="s">
        <v>23</v>
      </c>
      <c r="Q539" s="13">
        <v>5519</v>
      </c>
      <c r="R539" s="23" t="s">
        <v>26</v>
      </c>
      <c r="S539" s="13" t="s">
        <v>471</v>
      </c>
      <c r="T539" s="13" t="s">
        <v>16</v>
      </c>
      <c r="U539" s="17">
        <f t="shared" si="19"/>
        <v>0</v>
      </c>
    </row>
    <row r="540" spans="1:21" x14ac:dyDescent="0.3">
      <c r="A540" s="13">
        <v>111</v>
      </c>
      <c r="B540" s="13" t="str">
        <f>+VLOOKUP(A540,'[1]PA 2023'!$A$8:$E$84,5)</f>
        <v xml:space="preserve">Mantener la identificación, caracterización y seguimiento de la situación de cada habitante de calle atendido por la Secretaría de Desarrollo Social. </v>
      </c>
      <c r="C540" s="14">
        <v>2020680010050</v>
      </c>
      <c r="D540" s="14" t="str">
        <f>+VLOOKUP(C540,'[1]PA 2023'!$G$8:$H$84,2,FALSE)</f>
        <v>DESARROLLO DE ACCIONES ENCAMINADAS A GENERAR ATENCIÓN INTEGRAL HACIA LA POBLACIÓN HABITANTES EN SITUACIÓN DE CALLE DEL MUNICIPIO DE BUCARAMANGA</v>
      </c>
      <c r="E540" s="13" t="s">
        <v>1348</v>
      </c>
      <c r="F540" s="15" t="s">
        <v>22</v>
      </c>
      <c r="G540" s="22" t="s">
        <v>23</v>
      </c>
      <c r="H540" s="21" t="s">
        <v>23</v>
      </c>
      <c r="I540" s="13" t="s">
        <v>470</v>
      </c>
      <c r="J540" s="13" t="s">
        <v>768</v>
      </c>
      <c r="K540" s="16">
        <v>45069</v>
      </c>
      <c r="L540" s="17">
        <v>203801</v>
      </c>
      <c r="M540" s="17">
        <v>203801</v>
      </c>
      <c r="N540" s="18">
        <v>203801</v>
      </c>
      <c r="O540" s="15" t="s">
        <v>23</v>
      </c>
      <c r="Q540" s="13">
        <v>5519</v>
      </c>
      <c r="R540" s="23" t="s">
        <v>770</v>
      </c>
      <c r="S540" s="13" t="s">
        <v>471</v>
      </c>
      <c r="T540" s="13" t="s">
        <v>16</v>
      </c>
      <c r="U540" s="17">
        <f t="shared" si="19"/>
        <v>0</v>
      </c>
    </row>
    <row r="541" spans="1:21" x14ac:dyDescent="0.3">
      <c r="A541" s="13">
        <v>105</v>
      </c>
      <c r="B541" s="13" t="str">
        <f>+VLOOKUP(A541,'[1]PA 2023'!$A$8:$E$84,5)</f>
        <v>Mantener el Centro Integral de la Mujer a fin de garantizar el fortalecimiento de los procesos de atención y empoderamiento femenino.</v>
      </c>
      <c r="C541" s="14">
        <v>2020680010106</v>
      </c>
      <c r="D541" s="14" t="str">
        <f>+VLOOKUP(C541,'[1]PA 2023'!$G$8:$H$84,2,FALSE)</f>
        <v>FORTALECIMIENTO DE ESPACIOS DE PARTICIPACIÓN Y PREVENCIÓN DE VIOLENCIAS EN MUJERES Y POBLACIÓN CON ORIENTACIONES SEXUALES E IDENTIDADES DE GÉNERO DIVERSAS DEL MUNICIPIO DE BUCARAMANGA</v>
      </c>
      <c r="E541" s="13" t="s">
        <v>1348</v>
      </c>
      <c r="F541" s="15" t="s">
        <v>22</v>
      </c>
      <c r="G541" s="22" t="s">
        <v>23</v>
      </c>
      <c r="H541" s="21" t="s">
        <v>23</v>
      </c>
      <c r="I541" s="13" t="s">
        <v>470</v>
      </c>
      <c r="J541" s="13" t="s">
        <v>378</v>
      </c>
      <c r="K541" s="16">
        <v>45069</v>
      </c>
      <c r="L541" s="17">
        <v>203801</v>
      </c>
      <c r="M541" s="17">
        <v>203801</v>
      </c>
      <c r="N541" s="18">
        <v>203801</v>
      </c>
      <c r="O541" s="15" t="s">
        <v>23</v>
      </c>
      <c r="Q541" s="13">
        <v>5519</v>
      </c>
      <c r="R541" s="23" t="s">
        <v>380</v>
      </c>
      <c r="S541" s="13" t="s">
        <v>471</v>
      </c>
      <c r="T541" s="13" t="s">
        <v>16</v>
      </c>
      <c r="U541" s="17">
        <f t="shared" si="19"/>
        <v>0</v>
      </c>
    </row>
    <row r="542" spans="1:21" x14ac:dyDescent="0.3">
      <c r="A542" s="13">
        <v>71</v>
      </c>
      <c r="B542" s="13" t="str">
        <f>+VLOOKUP(A542,'[1]PA 2023'!$A$8:$E$84,5)</f>
        <v>Formular e implementar 1 estrategia de corresponsabilidad en la garantía de derechos, la prevención de vulneración, amenaza o riesgo en el ámbito familiar, comunitario e institucional.</v>
      </c>
      <c r="C542" s="14">
        <v>2022680010056</v>
      </c>
      <c r="D542" s="14" t="str">
        <f>+VLOOKUP(C542,'[1]PA 2023'!$G$8:$H$84,2,FALSE)</f>
        <v>APOYO EN LOS PROCESOS DE ATENCIÓN INTEGRAL DE LOS NIÑOS Y NIÑAS EN EL ESPACIO DE CUIDADO Y ALBERGUE "CASA BÚHO" EN EL MUNICIPIO DE BUCARAMANGA</v>
      </c>
      <c r="E542" s="13" t="s">
        <v>1349</v>
      </c>
      <c r="F542" s="15" t="s">
        <v>22</v>
      </c>
      <c r="G542" s="22" t="s">
        <v>23</v>
      </c>
      <c r="H542" s="21" t="s">
        <v>23</v>
      </c>
      <c r="I542" s="13" t="s">
        <v>260</v>
      </c>
      <c r="J542" s="13" t="s">
        <v>970</v>
      </c>
      <c r="K542" s="16">
        <v>45069</v>
      </c>
      <c r="L542" s="17">
        <v>1449903</v>
      </c>
      <c r="M542" s="17">
        <v>1449903</v>
      </c>
      <c r="N542" s="18">
        <v>1449903</v>
      </c>
      <c r="O542" s="15" t="s">
        <v>23</v>
      </c>
      <c r="Q542" s="13">
        <v>5520</v>
      </c>
      <c r="R542" s="13" t="s">
        <v>170</v>
      </c>
      <c r="S542" s="13" t="s">
        <v>261</v>
      </c>
      <c r="T542" s="13" t="s">
        <v>16</v>
      </c>
      <c r="U542" s="17">
        <f t="shared" si="19"/>
        <v>0</v>
      </c>
    </row>
    <row r="543" spans="1:21" x14ac:dyDescent="0.3">
      <c r="A543" s="13">
        <v>93</v>
      </c>
      <c r="B543" s="13" t="str">
        <f>+VLOOKUP(A543,'[1]PA 2023'!$A$8:$E$84,5)</f>
        <v>Mantener en funcionamiento los 3 Centros Vida con la prestacion de servicios integrales y/o dotacion de los mismos cumpliendo con la oferta institucional.</v>
      </c>
      <c r="C543" s="14">
        <v>2020680010040</v>
      </c>
      <c r="D543" s="14" t="str">
        <f>+VLOOKUP(C543,'[1]PA 2023'!$G$8:$H$84,2,FALSE)</f>
        <v>IMPLEMENTACIÓN DE ACCIONES TENDIENTES A MEJORAR LAS CONDICIONES DE LOS ADULTOS MAYORES DEL MUNICIPIO DE BUCARAMANGA</v>
      </c>
      <c r="E543" s="13" t="s">
        <v>1350</v>
      </c>
      <c r="F543" s="15" t="s">
        <v>22</v>
      </c>
      <c r="G543" s="22" t="s">
        <v>23</v>
      </c>
      <c r="H543" s="21" t="s">
        <v>23</v>
      </c>
      <c r="I543" s="13" t="s">
        <v>260</v>
      </c>
      <c r="J543" s="13" t="s">
        <v>25</v>
      </c>
      <c r="K543" s="16">
        <v>45069</v>
      </c>
      <c r="L543" s="17">
        <v>2928812</v>
      </c>
      <c r="M543" s="17">
        <v>2928812</v>
      </c>
      <c r="N543" s="18">
        <v>2928812</v>
      </c>
      <c r="O543" s="15" t="s">
        <v>23</v>
      </c>
      <c r="Q543" s="13">
        <v>5521</v>
      </c>
      <c r="R543" s="13" t="s">
        <v>26</v>
      </c>
      <c r="S543" s="13" t="s">
        <v>261</v>
      </c>
      <c r="T543" s="13" t="s">
        <v>16</v>
      </c>
      <c r="U543" s="17">
        <f t="shared" si="19"/>
        <v>0</v>
      </c>
    </row>
    <row r="544" spans="1:21" x14ac:dyDescent="0.3">
      <c r="A544" s="13">
        <v>300</v>
      </c>
      <c r="B544" s="13" t="str">
        <f>+VLOOKUP(A544,'[1]PA 2023'!$A$8:$E$84,5)</f>
        <v>Mantener el 100% de los programas que desarrolla la Administración Central.</v>
      </c>
      <c r="C544" s="14">
        <v>2020680010025</v>
      </c>
      <c r="D544" s="14" t="str">
        <f>+VLOOKUP(C544,'[1]PA 2023'!$G$8:$H$84,2,FALSE)</f>
        <v>MEJORAMIENTO DE LOS PROCESOS TRANSVERSALES PARA UNA ADMINISTRACIÓN PUBLICA MODERNA Y EFICIENTE EN LA SECRETARÍA DE DESARROLLO SOCIAL DEL MUNICIPIO BUCARAMANGA</v>
      </c>
      <c r="E544" s="13" t="s">
        <v>1351</v>
      </c>
      <c r="F544" s="15">
        <v>631</v>
      </c>
      <c r="G544" s="21" t="s">
        <v>43</v>
      </c>
      <c r="H544" s="21" t="s">
        <v>36</v>
      </c>
      <c r="I544" s="13" t="s">
        <v>120</v>
      </c>
      <c r="J544" s="13" t="s">
        <v>38</v>
      </c>
      <c r="K544" s="16">
        <v>45069</v>
      </c>
      <c r="L544" s="17">
        <v>816667</v>
      </c>
      <c r="M544" s="17">
        <v>816667</v>
      </c>
      <c r="N544" s="18">
        <v>816667</v>
      </c>
      <c r="O544" s="22" t="s">
        <v>121</v>
      </c>
      <c r="Q544" s="13">
        <v>5522</v>
      </c>
      <c r="R544" s="13" t="s">
        <v>40</v>
      </c>
      <c r="S544" s="13" t="s">
        <v>122</v>
      </c>
      <c r="T544" s="13" t="s">
        <v>16</v>
      </c>
      <c r="U544" s="17">
        <f t="shared" si="19"/>
        <v>0</v>
      </c>
    </row>
    <row r="545" spans="1:21" x14ac:dyDescent="0.3">
      <c r="A545" s="13">
        <v>106</v>
      </c>
      <c r="B545" s="13" t="str">
        <f>+VLOOKUP(A545,'[1]PA 2023'!$A$8:$E$84,5)</f>
        <v>Actualizar e implementar la Política Pública de Mujer.</v>
      </c>
      <c r="C545" s="14">
        <v>2020680010106</v>
      </c>
      <c r="D545" s="14" t="str">
        <f>+VLOOKUP(C545,'[1]PA 2023'!$G$8:$H$84,2,FALSE)</f>
        <v>FORTALECIMIENTO DE ESPACIOS DE PARTICIPACIÓN Y PREVENCIÓN DE VIOLENCIAS EN MUJERES Y POBLACIÓN CON ORIENTACIONES SEXUALES E IDENTIDADES DE GÉNERO DIVERSAS DEL MUNICIPIO DE BUCARAMANGA</v>
      </c>
      <c r="E545" s="13" t="s">
        <v>1352</v>
      </c>
      <c r="F545" s="15">
        <v>114</v>
      </c>
      <c r="G545" s="22" t="s">
        <v>1180</v>
      </c>
      <c r="H545" s="21" t="s">
        <v>1165</v>
      </c>
      <c r="I545" s="13" t="s">
        <v>1353</v>
      </c>
      <c r="J545" s="13" t="s">
        <v>1354</v>
      </c>
      <c r="K545" s="16">
        <v>45070</v>
      </c>
      <c r="L545" s="17">
        <v>752787.81</v>
      </c>
      <c r="M545" s="17">
        <v>752787.81</v>
      </c>
      <c r="N545" s="18">
        <v>752787.81</v>
      </c>
      <c r="O545" s="22" t="s">
        <v>1355</v>
      </c>
      <c r="Q545" s="13">
        <v>5531</v>
      </c>
      <c r="R545" s="23" t="s">
        <v>380</v>
      </c>
      <c r="S545" s="13" t="s">
        <v>1356</v>
      </c>
      <c r="T545" s="13" t="s">
        <v>16</v>
      </c>
      <c r="U545" s="17">
        <f t="shared" si="19"/>
        <v>0</v>
      </c>
    </row>
    <row r="546" spans="1:21" x14ac:dyDescent="0.3">
      <c r="A546" s="13">
        <v>73</v>
      </c>
      <c r="B546" s="13" t="str">
        <f>+VLOOKUP(A546,'[1]PA 2023'!$A$8:$E$84,5)</f>
        <v>Formular e implementar 1 programa para el reconocimiento de la construcción de la identidad de niños y niñas con una perspectiva de género dirigido a padres/madres y educadores.</v>
      </c>
      <c r="C546" s="14">
        <v>2021680010003</v>
      </c>
      <c r="D546" s="14" t="str">
        <f>+VLOOKUP(C546,'[1]PA 2023'!$G$8:$H$84,2,FALSE)</f>
        <v>IMPLEMENTACIÓN DE ESTRATEGIAS PSICOPEDAGÓGICAS PARA LA DISMINUCIÓN DE FACTORES DE RIESGO EN NIÑOS, NIÑAS Y ADOLESCENTES EN EL MUNICIPIO DE BUCARAMANGA</v>
      </c>
      <c r="E546" s="13" t="s">
        <v>1352</v>
      </c>
      <c r="F546" s="15">
        <v>114</v>
      </c>
      <c r="G546" s="22" t="s">
        <v>1180</v>
      </c>
      <c r="H546" s="21" t="s">
        <v>1165</v>
      </c>
      <c r="I546" s="13" t="s">
        <v>1353</v>
      </c>
      <c r="J546" s="13" t="s">
        <v>1357</v>
      </c>
      <c r="K546" s="16">
        <v>45070</v>
      </c>
      <c r="L546" s="17">
        <v>8309402.2000000002</v>
      </c>
      <c r="M546" s="17">
        <v>8309402.2000000002</v>
      </c>
      <c r="N546" s="18">
        <v>8309402.2000000002</v>
      </c>
      <c r="O546" s="22" t="s">
        <v>1355</v>
      </c>
      <c r="Q546" s="13">
        <v>5531</v>
      </c>
      <c r="R546" s="23" t="s">
        <v>164</v>
      </c>
      <c r="S546" s="13" t="s">
        <v>1356</v>
      </c>
      <c r="T546" s="13" t="s">
        <v>16</v>
      </c>
      <c r="U546" s="17">
        <f t="shared" si="19"/>
        <v>0</v>
      </c>
    </row>
    <row r="547" spans="1:21" x14ac:dyDescent="0.3">
      <c r="A547" s="13">
        <v>106</v>
      </c>
      <c r="B547" s="13" t="str">
        <f>+VLOOKUP(A547,'[1]PA 2023'!$A$8:$E$84,5)</f>
        <v>Actualizar e implementar la Política Pública de Mujer.</v>
      </c>
      <c r="C547" s="14">
        <v>2020680010106</v>
      </c>
      <c r="D547" s="14" t="str">
        <f>+VLOOKUP(C547,'[1]PA 2023'!$G$8:$H$84,2,FALSE)</f>
        <v>FORTALECIMIENTO DE ESPACIOS DE PARTICIPACIÓN Y PREVENCIÓN DE VIOLENCIAS EN MUJERES Y POBLACIÓN CON ORIENTACIONES SEXUALES E IDENTIDADES DE GÉNERO DIVERSAS DEL MUNICIPIO DE BUCARAMANGA</v>
      </c>
      <c r="E547" s="13" t="s">
        <v>1352</v>
      </c>
      <c r="F547" s="15">
        <v>114</v>
      </c>
      <c r="G547" s="22" t="s">
        <v>1180</v>
      </c>
      <c r="H547" s="21" t="s">
        <v>1165</v>
      </c>
      <c r="I547" s="13" t="s">
        <v>1353</v>
      </c>
      <c r="J547" s="13" t="s">
        <v>1358</v>
      </c>
      <c r="K547" s="16">
        <v>45070</v>
      </c>
      <c r="L547" s="17">
        <v>5483506.9900000002</v>
      </c>
      <c r="M547" s="17">
        <v>5483506.9900000002</v>
      </c>
      <c r="N547" s="18">
        <v>5483506.9100000001</v>
      </c>
      <c r="O547" s="22" t="s">
        <v>1355</v>
      </c>
      <c r="Q547" s="13">
        <v>5531</v>
      </c>
      <c r="R547" s="23" t="s">
        <v>380</v>
      </c>
      <c r="S547" s="13" t="s">
        <v>1356</v>
      </c>
      <c r="T547" s="13" t="s">
        <v>16</v>
      </c>
      <c r="U547" s="17">
        <f t="shared" si="19"/>
        <v>8.0000000074505806E-2</v>
      </c>
    </row>
    <row r="548" spans="1:21" x14ac:dyDescent="0.3">
      <c r="A548" s="13">
        <v>113</v>
      </c>
      <c r="B548" s="13" t="str">
        <f>+VLOOKUP(A548,'[1]PA 2023'!$A$8:$E$84,5)</f>
        <v>Formular e implementar 1 política pública para habitante de calle.</v>
      </c>
      <c r="C548" s="14">
        <v>2020680010050</v>
      </c>
      <c r="D548" s="14" t="str">
        <f>+VLOOKUP(C548,'[1]PA 2023'!$G$8:$H$84,2,FALSE)</f>
        <v>DESARROLLO DE ACCIONES ENCAMINADAS A GENERAR ATENCIÓN INTEGRAL HACIA LA POBLACIÓN HABITANTES EN SITUACIÓN DE CALLE DEL MUNICIPIO DE BUCARAMANGA</v>
      </c>
      <c r="E548" s="13" t="s">
        <v>1359</v>
      </c>
      <c r="F548" s="15">
        <v>107</v>
      </c>
      <c r="G548" s="22" t="s">
        <v>156</v>
      </c>
      <c r="H548" s="21" t="s">
        <v>1165</v>
      </c>
      <c r="I548" s="13" t="s">
        <v>1360</v>
      </c>
      <c r="J548" s="13" t="s">
        <v>768</v>
      </c>
      <c r="K548" s="16">
        <v>45070</v>
      </c>
      <c r="L548" s="17">
        <v>51414000</v>
      </c>
      <c r="M548" s="17">
        <v>51414000</v>
      </c>
      <c r="N548" s="18">
        <f>15580000+15580000+15580000</f>
        <v>46740000</v>
      </c>
      <c r="O548" s="22" t="s">
        <v>1361</v>
      </c>
      <c r="Q548" s="13">
        <v>5533</v>
      </c>
      <c r="R548" s="13" t="s">
        <v>770</v>
      </c>
      <c r="S548" s="13" t="s">
        <v>1362</v>
      </c>
      <c r="T548" s="13" t="s">
        <v>16</v>
      </c>
      <c r="U548" s="17">
        <f t="shared" si="19"/>
        <v>4674000</v>
      </c>
    </row>
    <row r="549" spans="1:21" x14ac:dyDescent="0.3">
      <c r="A549" s="13">
        <v>300</v>
      </c>
      <c r="B549" s="13" t="str">
        <f>+VLOOKUP(A549,'[1]PA 2023'!$A$8:$E$84,5)</f>
        <v>Mantener el 100% de los programas que desarrolla la Administración Central.</v>
      </c>
      <c r="C549" s="14">
        <v>2020680010025</v>
      </c>
      <c r="D549" s="14" t="str">
        <f>+VLOOKUP(C549,'[1]PA 2023'!$G$8:$H$84,2,FALSE)</f>
        <v>MEJORAMIENTO DE LOS PROCESOS TRANSVERSALES PARA UNA ADMINISTRACIÓN PUBLICA MODERNA Y EFICIENTE EN LA SECRETARÍA DE DESARROLLO SOCIAL DEL MUNICIPIO BUCARAMANGA</v>
      </c>
      <c r="E549" s="13" t="s">
        <v>103</v>
      </c>
      <c r="F549" s="15">
        <v>559</v>
      </c>
      <c r="G549" s="21" t="s">
        <v>43</v>
      </c>
      <c r="H549" s="21" t="s">
        <v>36</v>
      </c>
      <c r="I549" s="13" t="s">
        <v>104</v>
      </c>
      <c r="J549" s="13" t="s">
        <v>61</v>
      </c>
      <c r="K549" s="16">
        <v>45071</v>
      </c>
      <c r="L549" s="17">
        <v>-3066666.67</v>
      </c>
      <c r="M549" s="17">
        <v>-3066666.67</v>
      </c>
      <c r="N549" s="18">
        <v>0</v>
      </c>
      <c r="O549" s="22" t="s">
        <v>105</v>
      </c>
      <c r="Q549" s="13">
        <v>651</v>
      </c>
      <c r="R549" s="23" t="s">
        <v>63</v>
      </c>
      <c r="S549" s="13" t="s">
        <v>106</v>
      </c>
      <c r="T549" s="13" t="s">
        <v>16</v>
      </c>
      <c r="U549" s="26">
        <v>0</v>
      </c>
    </row>
    <row r="550" spans="1:21" x14ac:dyDescent="0.3">
      <c r="A550" s="13">
        <v>205</v>
      </c>
      <c r="B550" s="13" t="str">
        <f>+VLOOKUP(A550,'[1]PA 2023'!$A$8:$E$84,5)</f>
        <v>Mantener 4 mercadillos campesinos.</v>
      </c>
      <c r="C550" s="14">
        <v>2020680010123</v>
      </c>
      <c r="D550" s="14" t="str">
        <f>+VLOOKUP(C550,'[1]PA 2023'!$G$8:$H$84,2,FALSE)</f>
        <v>FORTALECIMIENTO DE LA PRODUCTIVIDAD Y COMPETITIVIDAD AGROPECUARIA EN EL SECTOR RURAL DEL MUNICIPIO DE BUCARAMANGA</v>
      </c>
      <c r="E550" s="13" t="s">
        <v>669</v>
      </c>
      <c r="F550" s="15">
        <v>1405</v>
      </c>
      <c r="G550" s="22" t="s">
        <v>35</v>
      </c>
      <c r="H550" s="21" t="s">
        <v>36</v>
      </c>
      <c r="I550" s="13" t="s">
        <v>670</v>
      </c>
      <c r="J550" s="13" t="s">
        <v>665</v>
      </c>
      <c r="K550" s="16">
        <v>45071</v>
      </c>
      <c r="L550" s="17">
        <v>-1266666.67</v>
      </c>
      <c r="M550" s="17">
        <v>-1266666.67</v>
      </c>
      <c r="N550" s="18">
        <v>0</v>
      </c>
      <c r="O550" s="22" t="s">
        <v>671</v>
      </c>
      <c r="Q550" s="13">
        <v>2434</v>
      </c>
      <c r="R550" s="23" t="s">
        <v>667</v>
      </c>
      <c r="S550" s="13" t="s">
        <v>672</v>
      </c>
      <c r="T550" s="13" t="s">
        <v>16</v>
      </c>
      <c r="U550" s="26">
        <v>0</v>
      </c>
    </row>
    <row r="551" spans="1:21" x14ac:dyDescent="0.3">
      <c r="A551" s="13">
        <v>285</v>
      </c>
      <c r="B551" s="13" t="str">
        <f>+VLOOKUP(A551,'[1]PA 2023'!$A$8:$E$84,5)</f>
        <v>Mantener en funcionamiento el 100% de los salones comunales que hacen parte del programa Ágoras.</v>
      </c>
      <c r="C551" s="14">
        <v>2022680010029</v>
      </c>
      <c r="D551" s="14" t="str">
        <f>+VLOOKUP(C551,'[1]PA 2023'!$G$8:$H$84,2,FALSE)</f>
        <v>FORTALECIMIENTO DE LA PARTICIPACIÓN CIUDADANA EN EL MUNICIPIO DE BUCARAMANGA</v>
      </c>
      <c r="E551" s="13" t="s">
        <v>1363</v>
      </c>
      <c r="F551" s="15" t="s">
        <v>22</v>
      </c>
      <c r="G551" s="22" t="s">
        <v>23</v>
      </c>
      <c r="H551" s="21" t="s">
        <v>23</v>
      </c>
      <c r="I551" s="13" t="s">
        <v>260</v>
      </c>
      <c r="J551" s="13" t="s">
        <v>1130</v>
      </c>
      <c r="K551" s="16">
        <v>45071</v>
      </c>
      <c r="L551" s="17">
        <v>294843</v>
      </c>
      <c r="M551" s="17">
        <v>294843</v>
      </c>
      <c r="N551" s="18">
        <v>294843</v>
      </c>
      <c r="O551" s="15" t="s">
        <v>23</v>
      </c>
      <c r="Q551" s="13">
        <v>5546</v>
      </c>
      <c r="R551" s="13" t="s">
        <v>134</v>
      </c>
      <c r="S551" s="13" t="s">
        <v>261</v>
      </c>
      <c r="T551" s="13" t="s">
        <v>16</v>
      </c>
      <c r="U551" s="17">
        <f t="shared" ref="U551:U566" si="20">+M551-N551</f>
        <v>0</v>
      </c>
    </row>
    <row r="552" spans="1:21" x14ac:dyDescent="0.3">
      <c r="A552" s="13">
        <v>93</v>
      </c>
      <c r="B552" s="13" t="str">
        <f>+VLOOKUP(A552,'[1]PA 2023'!$A$8:$E$84,5)</f>
        <v>Mantener en funcionamiento los 3 Centros Vida con la prestacion de servicios integrales y/o dotacion de los mismos cumpliendo con la oferta institucional.</v>
      </c>
      <c r="C552" s="14">
        <v>2020680010040</v>
      </c>
      <c r="D552" s="14" t="str">
        <f>+VLOOKUP(C552,'[1]PA 2023'!$G$8:$H$84,2,FALSE)</f>
        <v>IMPLEMENTACIÓN DE ACCIONES TENDIENTES A MEJORAR LAS CONDICIONES DE LOS ADULTOS MAYORES DEL MUNICIPIO DE BUCARAMANGA</v>
      </c>
      <c r="E552" s="13" t="s">
        <v>1364</v>
      </c>
      <c r="F552" s="15">
        <v>1390</v>
      </c>
      <c r="G552" s="21" t="s">
        <v>43</v>
      </c>
      <c r="H552" s="21" t="s">
        <v>36</v>
      </c>
      <c r="I552" s="13" t="s">
        <v>630</v>
      </c>
      <c r="J552" s="13" t="s">
        <v>574</v>
      </c>
      <c r="K552" s="16">
        <v>45071</v>
      </c>
      <c r="L552" s="17">
        <v>500000</v>
      </c>
      <c r="M552" s="17">
        <v>500000</v>
      </c>
      <c r="N552" s="18">
        <v>500000</v>
      </c>
      <c r="O552" s="22" t="s">
        <v>631</v>
      </c>
      <c r="Q552" s="13">
        <v>5556</v>
      </c>
      <c r="R552" s="13" t="s">
        <v>26</v>
      </c>
      <c r="S552" s="13" t="s">
        <v>632</v>
      </c>
      <c r="T552" s="13" t="s">
        <v>16</v>
      </c>
      <c r="U552" s="17">
        <f t="shared" si="20"/>
        <v>0</v>
      </c>
    </row>
    <row r="553" spans="1:21" x14ac:dyDescent="0.3">
      <c r="A553" s="13">
        <v>71</v>
      </c>
      <c r="B553" s="13" t="str">
        <f>+VLOOKUP(A553,'[1]PA 2023'!$A$8:$E$84,5)</f>
        <v>Formular e implementar 1 estrategia de corresponsabilidad en la garantía de derechos, la prevención de vulneración, amenaza o riesgo en el ámbito familiar, comunitario e institucional.</v>
      </c>
      <c r="C553" s="14">
        <v>2021680010003</v>
      </c>
      <c r="D553" s="14" t="str">
        <f>+VLOOKUP(C553,'[1]PA 2023'!$G$8:$H$84,2,FALSE)</f>
        <v>IMPLEMENTACIÓN DE ESTRATEGIAS PSICOPEDAGÓGICAS PARA LA DISMINUCIÓN DE FACTORES DE RIESGO EN NIÑOS, NIÑAS Y ADOLESCENTES EN EL MUNICIPIO DE BUCARAMANGA</v>
      </c>
      <c r="E553" s="13" t="s">
        <v>1365</v>
      </c>
      <c r="F553" s="15">
        <v>110</v>
      </c>
      <c r="G553" s="22" t="s">
        <v>1235</v>
      </c>
      <c r="H553" s="21" t="s">
        <v>157</v>
      </c>
      <c r="I553" s="13" t="s">
        <v>1366</v>
      </c>
      <c r="J553" s="13" t="s">
        <v>1367</v>
      </c>
      <c r="K553" s="16">
        <v>45071</v>
      </c>
      <c r="L553" s="17">
        <v>50000000</v>
      </c>
      <c r="M553" s="17">
        <v>50000000</v>
      </c>
      <c r="N553" s="18">
        <f>11778561+1333422+6444873</f>
        <v>19556856</v>
      </c>
      <c r="O553" s="22" t="s">
        <v>1368</v>
      </c>
      <c r="Q553" s="13">
        <v>5560</v>
      </c>
      <c r="R553" s="23" t="s">
        <v>164</v>
      </c>
      <c r="S553" s="13" t="s">
        <v>1369</v>
      </c>
      <c r="T553" s="13" t="s">
        <v>16</v>
      </c>
      <c r="U553" s="17">
        <f t="shared" si="20"/>
        <v>30443144</v>
      </c>
    </row>
    <row r="554" spans="1:21" x14ac:dyDescent="0.3">
      <c r="A554" s="13">
        <v>99</v>
      </c>
      <c r="B554" s="13" t="str">
        <f>+VLOOKUP(A554,'[1]PA 2023'!$A$8:$E$84,5)</f>
        <v>Formular e implementar 1 estrategia para brindar asistencia social a la población afectada por las diferentes emergencias y particularmente COVID-19.</v>
      </c>
      <c r="C554" s="14">
        <v>2022680010036</v>
      </c>
      <c r="D554" s="14" t="str">
        <f>+VLOOKUP(C554,'[1]PA 2023'!$G$8:$H$84,2,FALSE)</f>
        <v>IMPLEMENTACIÓN DE ACCIONES DE ASISTENCIA SOCIAL ORIENTADAS A LA POBLACIÓN AFECTADA POR LAS DIFERENTES EMERGENCIAS SOCIALES, NATURALES, SANITARIAS ANTRÓPICAS O EN SITUACIÓN DE VULNERABILIDAD EN EL MUNICIPIO DE BUCARAMANGA</v>
      </c>
      <c r="E554" s="13" t="s">
        <v>1365</v>
      </c>
      <c r="F554" s="15">
        <v>110</v>
      </c>
      <c r="G554" s="22" t="s">
        <v>1235</v>
      </c>
      <c r="H554" s="21" t="s">
        <v>157</v>
      </c>
      <c r="I554" s="13" t="s">
        <v>1366</v>
      </c>
      <c r="J554" s="13" t="s">
        <v>1370</v>
      </c>
      <c r="K554" s="16">
        <v>45071</v>
      </c>
      <c r="L554" s="17">
        <v>50000000</v>
      </c>
      <c r="M554" s="17">
        <v>50000000</v>
      </c>
      <c r="N554" s="18">
        <v>9154548</v>
      </c>
      <c r="O554" s="22" t="s">
        <v>1368</v>
      </c>
      <c r="Q554" s="13">
        <v>5560</v>
      </c>
      <c r="R554" s="23" t="s">
        <v>540</v>
      </c>
      <c r="S554" s="13" t="s">
        <v>1369</v>
      </c>
      <c r="T554" s="13" t="s">
        <v>16</v>
      </c>
      <c r="U554" s="17">
        <f t="shared" si="20"/>
        <v>40845452</v>
      </c>
    </row>
    <row r="555" spans="1:21" x14ac:dyDescent="0.3">
      <c r="A555" s="13">
        <v>89</v>
      </c>
      <c r="B555" s="13" t="str">
        <f>+VLOOKUP(A555,'[1]PA 2023'!$A$8:$E$84,5)</f>
        <v>Proveer 25.000 ayudas alimentarias anuales mediante complementos nutricionales para personas mayores en condición de pobreza y vulnerabilidad mejorando su calidad de vida a través de la seguridad alimentaria.</v>
      </c>
      <c r="C555" s="14">
        <v>2020680010040</v>
      </c>
      <c r="D555" s="14" t="str">
        <f>+VLOOKUP(C555,'[1]PA 2023'!$G$8:$H$84,2,FALSE)</f>
        <v>IMPLEMENTACIÓN DE ACCIONES TENDIENTES A MEJORAR LAS CONDICIONES DE LOS ADULTOS MAYORES DEL MUNICIPIO DE BUCARAMANGA</v>
      </c>
      <c r="E555" s="13" t="s">
        <v>1365</v>
      </c>
      <c r="F555" s="15">
        <v>110</v>
      </c>
      <c r="G555" s="22" t="s">
        <v>1235</v>
      </c>
      <c r="H555" s="21" t="s">
        <v>157</v>
      </c>
      <c r="I555" s="13" t="s">
        <v>1366</v>
      </c>
      <c r="J555" s="13" t="s">
        <v>1371</v>
      </c>
      <c r="K555" s="16">
        <v>45071</v>
      </c>
      <c r="L555" s="17">
        <v>1611688076</v>
      </c>
      <c r="M555" s="17">
        <v>1611688076</v>
      </c>
      <c r="N555" s="18">
        <f>238055400+300094080+274304745</f>
        <v>812454225</v>
      </c>
      <c r="O555" s="22" t="s">
        <v>1368</v>
      </c>
      <c r="Q555" s="13">
        <v>5560</v>
      </c>
      <c r="R555" s="23" t="s">
        <v>1372</v>
      </c>
      <c r="S555" s="13" t="s">
        <v>1369</v>
      </c>
      <c r="T555" s="13" t="s">
        <v>16</v>
      </c>
      <c r="U555" s="17">
        <f t="shared" si="20"/>
        <v>799233851</v>
      </c>
    </row>
    <row r="556" spans="1:21" x14ac:dyDescent="0.3">
      <c r="A556" s="13">
        <v>89</v>
      </c>
      <c r="B556" s="13" t="str">
        <f>+VLOOKUP(A556,'[1]PA 2023'!$A$8:$E$84,5)</f>
        <v>Proveer 25.000 ayudas alimentarias anuales mediante complementos nutricionales para personas mayores en condición de pobreza y vulnerabilidad mejorando su calidad de vida a través de la seguridad alimentaria.</v>
      </c>
      <c r="C556" s="14">
        <v>2020680010040</v>
      </c>
      <c r="D556" s="14" t="str">
        <f>+VLOOKUP(C556,'[1]PA 2023'!$G$8:$H$84,2,FALSE)</f>
        <v>IMPLEMENTACIÓN DE ACCIONES TENDIENTES A MEJORAR LAS CONDICIONES DE LOS ADULTOS MAYORES DEL MUNICIPIO DE BUCARAMANGA</v>
      </c>
      <c r="E556" s="13" t="s">
        <v>1365</v>
      </c>
      <c r="F556" s="15">
        <v>111</v>
      </c>
      <c r="G556" s="22" t="s">
        <v>1235</v>
      </c>
      <c r="H556" s="21" t="s">
        <v>157</v>
      </c>
      <c r="I556" s="13" t="s">
        <v>1373</v>
      </c>
      <c r="J556" s="13" t="s">
        <v>1374</v>
      </c>
      <c r="K556" s="16">
        <v>45071</v>
      </c>
      <c r="L556" s="17">
        <v>1317672510</v>
      </c>
      <c r="M556" s="17">
        <v>1317672510</v>
      </c>
      <c r="N556" s="18">
        <f>209434648.55+261749126.1+238242958.8</f>
        <v>709426733.45000005</v>
      </c>
      <c r="O556" s="22" t="s">
        <v>1368</v>
      </c>
      <c r="Q556" s="13">
        <v>5561</v>
      </c>
      <c r="R556" s="23" t="s">
        <v>26</v>
      </c>
      <c r="S556" s="13" t="s">
        <v>1375</v>
      </c>
      <c r="T556" s="13" t="s">
        <v>16</v>
      </c>
      <c r="U556" s="17">
        <f t="shared" si="20"/>
        <v>608245776.54999995</v>
      </c>
    </row>
    <row r="557" spans="1:21" x14ac:dyDescent="0.3">
      <c r="A557" s="13">
        <v>89</v>
      </c>
      <c r="B557" s="13" t="str">
        <f>+VLOOKUP(A557,'[1]PA 2023'!$A$8:$E$84,5)</f>
        <v>Proveer 25.000 ayudas alimentarias anuales mediante complementos nutricionales para personas mayores en condición de pobreza y vulnerabilidad mejorando su calidad de vida a través de la seguridad alimentaria.</v>
      </c>
      <c r="C557" s="14">
        <v>2020680010040</v>
      </c>
      <c r="D557" s="14" t="str">
        <f>+VLOOKUP(C557,'[1]PA 2023'!$G$8:$H$84,2,FALSE)</f>
        <v>IMPLEMENTACIÓN DE ACCIONES TENDIENTES A MEJORAR LAS CONDICIONES DE LOS ADULTOS MAYORES DEL MUNICIPIO DE BUCARAMANGA</v>
      </c>
      <c r="E557" s="13" t="s">
        <v>1365</v>
      </c>
      <c r="F557" s="15">
        <v>111</v>
      </c>
      <c r="G557" s="22" t="s">
        <v>1235</v>
      </c>
      <c r="H557" s="21" t="s">
        <v>157</v>
      </c>
      <c r="I557" s="13" t="s">
        <v>1373</v>
      </c>
      <c r="J557" s="13" t="s">
        <v>1371</v>
      </c>
      <c r="K557" s="16">
        <v>45071</v>
      </c>
      <c r="L557" s="17">
        <v>9011924</v>
      </c>
      <c r="M557" s="17">
        <v>9011924</v>
      </c>
      <c r="N557" s="18">
        <v>0</v>
      </c>
      <c r="O557" s="22" t="s">
        <v>1368</v>
      </c>
      <c r="Q557" s="13">
        <v>5561</v>
      </c>
      <c r="R557" s="23" t="s">
        <v>1372</v>
      </c>
      <c r="S557" s="13" t="s">
        <v>1375</v>
      </c>
      <c r="T557" s="13" t="s">
        <v>16</v>
      </c>
      <c r="U557" s="17">
        <f t="shared" si="20"/>
        <v>9011924</v>
      </c>
    </row>
    <row r="558" spans="1:21" x14ac:dyDescent="0.3">
      <c r="A558" s="13">
        <v>89</v>
      </c>
      <c r="B558" s="13" t="str">
        <f>+VLOOKUP(A558,'[1]PA 2023'!$A$8:$E$84,5)</f>
        <v>Proveer 25.000 ayudas alimentarias anuales mediante complementos nutricionales para personas mayores en condición de pobreza y vulnerabilidad mejorando su calidad de vida a través de la seguridad alimentaria.</v>
      </c>
      <c r="C558" s="14">
        <v>2020680010040</v>
      </c>
      <c r="D558" s="14" t="str">
        <f>+VLOOKUP(C558,'[1]PA 2023'!$G$8:$H$84,2,FALSE)</f>
        <v>IMPLEMENTACIÓN DE ACCIONES TENDIENTES A MEJORAR LAS CONDICIONES DE LOS ADULTOS MAYORES DEL MUNICIPIO DE BUCARAMANGA</v>
      </c>
      <c r="E558" s="13" t="s">
        <v>1365</v>
      </c>
      <c r="F558" s="15">
        <v>111</v>
      </c>
      <c r="G558" s="22" t="s">
        <v>1235</v>
      </c>
      <c r="H558" s="21" t="s">
        <v>157</v>
      </c>
      <c r="I558" s="13" t="s">
        <v>1373</v>
      </c>
      <c r="J558" s="13" t="s">
        <v>1376</v>
      </c>
      <c r="K558" s="16">
        <v>45071</v>
      </c>
      <c r="L558" s="17">
        <v>115995290</v>
      </c>
      <c r="M558" s="17">
        <v>115995290</v>
      </c>
      <c r="N558" s="18">
        <v>0</v>
      </c>
      <c r="O558" s="22" t="s">
        <v>1368</v>
      </c>
      <c r="Q558" s="13">
        <v>5561</v>
      </c>
      <c r="R558" s="23" t="s">
        <v>1149</v>
      </c>
      <c r="S558" s="13" t="s">
        <v>1375</v>
      </c>
      <c r="T558" s="13" t="s">
        <v>16</v>
      </c>
      <c r="U558" s="17">
        <f t="shared" si="20"/>
        <v>115995290</v>
      </c>
    </row>
    <row r="559" spans="1:21" x14ac:dyDescent="0.3">
      <c r="A559" s="13">
        <v>118</v>
      </c>
      <c r="B559" s="13" t="str">
        <f>+VLOOKUP(A559,'[1]PA 2023'!$A$8:$E$84,5)</f>
        <v>Beneficiar anualmente a 200 familias de personas con discapacidad con una canasta básica alimentaria que según su situación socioeconómica se encuentran en extrema vulnerabilidad.</v>
      </c>
      <c r="C559" s="14">
        <v>2020680010121</v>
      </c>
      <c r="D559" s="14" t="str">
        <f>+VLOOKUP(C559,'[1]PA 2023'!$G$8:$H$84,2,FALSE)</f>
        <v>APOYO A LA OPERATIVIDAD DE LOS PROGRAMAS DE ATENCIÓN INTEGRAL A LAS PERSONAS CON DISCAPACIDAD. FAMILIARES Y/O CUIDADORES DEL MUNICIPIO DE BUCARAMANGA</v>
      </c>
      <c r="E559" s="13" t="s">
        <v>1365</v>
      </c>
      <c r="F559" s="15">
        <v>111</v>
      </c>
      <c r="G559" s="22" t="s">
        <v>1235</v>
      </c>
      <c r="H559" s="21" t="s">
        <v>157</v>
      </c>
      <c r="I559" s="13" t="s">
        <v>1373</v>
      </c>
      <c r="J559" s="13" t="s">
        <v>1377</v>
      </c>
      <c r="K559" s="16">
        <v>45071</v>
      </c>
      <c r="L559" s="17">
        <v>269838300</v>
      </c>
      <c r="M559" s="17">
        <v>269838300</v>
      </c>
      <c r="N559" s="18">
        <f>29401955.1+48785466.24+48349881.72</f>
        <v>126537303.06</v>
      </c>
      <c r="O559" s="22" t="s">
        <v>1368</v>
      </c>
      <c r="Q559" s="13">
        <v>5561</v>
      </c>
      <c r="R559" s="23" t="s">
        <v>193</v>
      </c>
      <c r="S559" s="13" t="s">
        <v>1375</v>
      </c>
      <c r="T559" s="13" t="s">
        <v>16</v>
      </c>
      <c r="U559" s="17">
        <f t="shared" si="20"/>
        <v>143300996.94</v>
      </c>
    </row>
    <row r="560" spans="1:21" x14ac:dyDescent="0.3">
      <c r="A560" s="13">
        <v>113</v>
      </c>
      <c r="B560" s="13" t="str">
        <f>+VLOOKUP(A560,'[1]PA 2023'!$A$8:$E$84,5)</f>
        <v>Formular e implementar 1 política pública para habitante de calle.</v>
      </c>
      <c r="C560" s="14">
        <v>2020680010050</v>
      </c>
      <c r="D560" s="14" t="str">
        <f>+VLOOKUP(C560,'[1]PA 2023'!$G$8:$H$84,2,FALSE)</f>
        <v>DESARROLLO DE ACCIONES ENCAMINADAS A GENERAR ATENCIÓN INTEGRAL HACIA LA POBLACIÓN HABITANTES EN SITUACIÓN DE CALLE DEL MUNICIPIO DE BUCARAMANGA</v>
      </c>
      <c r="E560" s="13" t="s">
        <v>1378</v>
      </c>
      <c r="F560" s="15">
        <v>112</v>
      </c>
      <c r="G560" s="22" t="s">
        <v>156</v>
      </c>
      <c r="H560" s="21" t="s">
        <v>1379</v>
      </c>
      <c r="I560" s="13" t="s">
        <v>1360</v>
      </c>
      <c r="J560" s="13" t="s">
        <v>1380</v>
      </c>
      <c r="K560" s="16">
        <v>45071</v>
      </c>
      <c r="L560" s="17">
        <v>15000000</v>
      </c>
      <c r="M560" s="17">
        <v>15000000</v>
      </c>
      <c r="N560" s="18">
        <f>894747.05+6498689.1</f>
        <v>7393436.1499999994</v>
      </c>
      <c r="O560" s="22" t="s">
        <v>1381</v>
      </c>
      <c r="Q560" s="13">
        <v>5562</v>
      </c>
      <c r="R560" s="23" t="s">
        <v>1260</v>
      </c>
      <c r="S560" s="13" t="s">
        <v>1362</v>
      </c>
      <c r="T560" s="13" t="s">
        <v>16</v>
      </c>
      <c r="U560" s="17">
        <f t="shared" si="20"/>
        <v>7606563.8500000006</v>
      </c>
    </row>
    <row r="561" spans="1:21" x14ac:dyDescent="0.3">
      <c r="A561" s="13">
        <v>81</v>
      </c>
      <c r="B561" s="13" t="str">
        <f>+VLOOKUP(A561,'[1]PA 2023'!$A$8:$E$84,5)</f>
        <v>Desarrollar 3 jornadas de uso creativo del tiempo y emprendimiento que potencien sus competencias y motiven continuar en diferentes niveles de educación superior.</v>
      </c>
      <c r="C561" s="14">
        <v>2021680010003</v>
      </c>
      <c r="D561" s="14" t="str">
        <f>+VLOOKUP(C561,'[1]PA 2023'!$G$8:$H$84,2,FALSE)</f>
        <v>IMPLEMENTACIÓN DE ESTRATEGIAS PSICOPEDAGÓGICAS PARA LA DISMINUCIÓN DE FACTORES DE RIESGO EN NIÑOS, NIÑAS Y ADOLESCENTES EN EL MUNICIPIO DE BUCARAMANGA</v>
      </c>
      <c r="E561" s="13" t="s">
        <v>1378</v>
      </c>
      <c r="F561" s="15">
        <v>112</v>
      </c>
      <c r="G561" s="22" t="s">
        <v>156</v>
      </c>
      <c r="H561" s="21" t="s">
        <v>1379</v>
      </c>
      <c r="I561" s="13" t="s">
        <v>1360</v>
      </c>
      <c r="J561" s="13" t="s">
        <v>1382</v>
      </c>
      <c r="K561" s="16">
        <v>45071</v>
      </c>
      <c r="L561" s="17">
        <v>90000000</v>
      </c>
      <c r="M561" s="17">
        <v>90000000</v>
      </c>
      <c r="N561" s="18">
        <f>4134137.35+1317298.5+6569506.53</f>
        <v>12020942.379999999</v>
      </c>
      <c r="O561" s="22" t="s">
        <v>1381</v>
      </c>
      <c r="Q561" s="13">
        <v>5562</v>
      </c>
      <c r="R561" s="23" t="s">
        <v>164</v>
      </c>
      <c r="S561" s="13" t="s">
        <v>1362</v>
      </c>
      <c r="T561" s="13" t="s">
        <v>16</v>
      </c>
      <c r="U561" s="17">
        <f t="shared" si="20"/>
        <v>77979057.620000005</v>
      </c>
    </row>
    <row r="562" spans="1:21" x14ac:dyDescent="0.3">
      <c r="A562" s="13">
        <v>90</v>
      </c>
      <c r="B562" s="13" t="str">
        <f>+VLOOKUP(A562,'[1]PA 2023'!$A$8:$E$84,5)</f>
        <v>Beneficiar a 7.000 personas mayores vulnerables de los diferentes barrios del municipio con la oferta de servicios de atencion primaria en salud, recreacion y aprovechamiento del tiempo libre.</v>
      </c>
      <c r="C562" s="14">
        <v>2020680010040</v>
      </c>
      <c r="D562" s="14" t="str">
        <f>+VLOOKUP(C562,'[1]PA 2023'!$G$8:$H$84,2,FALSE)</f>
        <v>IMPLEMENTACIÓN DE ACCIONES TENDIENTES A MEJORAR LAS CONDICIONES DE LOS ADULTOS MAYORES DEL MUNICIPIO DE BUCARAMANGA</v>
      </c>
      <c r="E562" s="13" t="s">
        <v>1378</v>
      </c>
      <c r="F562" s="15">
        <v>112</v>
      </c>
      <c r="G562" s="22" t="s">
        <v>156</v>
      </c>
      <c r="H562" s="21" t="s">
        <v>1379</v>
      </c>
      <c r="I562" s="13" t="s">
        <v>1360</v>
      </c>
      <c r="J562" s="13" t="s">
        <v>1383</v>
      </c>
      <c r="K562" s="16">
        <v>45071</v>
      </c>
      <c r="L562" s="17">
        <v>80000000</v>
      </c>
      <c r="M562" s="17">
        <v>80000000</v>
      </c>
      <c r="N562" s="18">
        <f>30768872.45+2662084+46105151.03</f>
        <v>79536107.480000004</v>
      </c>
      <c r="O562" s="22" t="s">
        <v>1381</v>
      </c>
      <c r="Q562" s="13">
        <v>5562</v>
      </c>
      <c r="R562" s="23" t="s">
        <v>26</v>
      </c>
      <c r="S562" s="13" t="s">
        <v>1362</v>
      </c>
      <c r="T562" s="13" t="s">
        <v>16</v>
      </c>
      <c r="U562" s="17">
        <f t="shared" si="20"/>
        <v>463892.51999999583</v>
      </c>
    </row>
    <row r="563" spans="1:21" x14ac:dyDescent="0.3">
      <c r="A563" s="13">
        <v>117</v>
      </c>
      <c r="B563" s="13" t="str">
        <f>+VLOOKUP(A563,'[1]PA 2023'!$A$8:$E$84,5)</f>
        <v>Formular e implementar 1 estrategia de orientación ocupacional, aprovechamiento del tiempo libre, formación y esparcimiento cultural y actividades que mejoren la calidad de vida dirigidas a personas con discapacidad.</v>
      </c>
      <c r="C563" s="14">
        <v>2020680010121</v>
      </c>
      <c r="D563" s="14" t="str">
        <f>+VLOOKUP(C563,'[1]PA 2023'!$G$8:$H$84,2,FALSE)</f>
        <v>APOYO A LA OPERATIVIDAD DE LOS PROGRAMAS DE ATENCIÓN INTEGRAL A LAS PERSONAS CON DISCAPACIDAD. FAMILIARES Y/O CUIDADORES DEL MUNICIPIO DE BUCARAMANGA</v>
      </c>
      <c r="E563" s="13" t="s">
        <v>1378</v>
      </c>
      <c r="F563" s="15">
        <v>112</v>
      </c>
      <c r="G563" s="22" t="s">
        <v>156</v>
      </c>
      <c r="H563" s="21" t="s">
        <v>1379</v>
      </c>
      <c r="I563" s="13" t="s">
        <v>1360</v>
      </c>
      <c r="J563" s="13" t="s">
        <v>1384</v>
      </c>
      <c r="K563" s="16">
        <v>45071</v>
      </c>
      <c r="L563" s="17">
        <v>40000000</v>
      </c>
      <c r="M563" s="17">
        <v>40000000</v>
      </c>
      <c r="N563" s="18">
        <v>0</v>
      </c>
      <c r="O563" s="22" t="s">
        <v>1381</v>
      </c>
      <c r="Q563" s="13">
        <v>5562</v>
      </c>
      <c r="R563" s="23" t="s">
        <v>193</v>
      </c>
      <c r="S563" s="13" t="s">
        <v>1362</v>
      </c>
      <c r="T563" s="13" t="s">
        <v>16</v>
      </c>
      <c r="U563" s="17">
        <f t="shared" si="20"/>
        <v>40000000</v>
      </c>
    </row>
    <row r="564" spans="1:21" x14ac:dyDescent="0.3">
      <c r="A564" s="13">
        <v>283</v>
      </c>
      <c r="B564" s="13" t="str">
        <f>+VLOOKUP(A564,'[1]PA 2023'!$A$8:$E$84,5)</f>
        <v>Formular e implementar 1 estrategia que fortalezca la democracia participativa (Ley 1757 de 2015).</v>
      </c>
      <c r="C564" s="14">
        <v>2022680010029</v>
      </c>
      <c r="D564" s="14" t="str">
        <f>+VLOOKUP(C564,'[1]PA 2023'!$G$8:$H$84,2,FALSE)</f>
        <v>FORTALECIMIENTO DE LA PARTICIPACIÓN CIUDADANA EN EL MUNICIPIO DE BUCARAMANGA</v>
      </c>
      <c r="E564" s="13" t="s">
        <v>1378</v>
      </c>
      <c r="F564" s="15">
        <v>112</v>
      </c>
      <c r="G564" s="22" t="s">
        <v>156</v>
      </c>
      <c r="H564" s="21" t="s">
        <v>1379</v>
      </c>
      <c r="I564" s="13" t="s">
        <v>1360</v>
      </c>
      <c r="J564" s="13" t="s">
        <v>1385</v>
      </c>
      <c r="K564" s="16">
        <v>45071</v>
      </c>
      <c r="L564" s="17">
        <v>40000000</v>
      </c>
      <c r="M564" s="17">
        <v>40000000</v>
      </c>
      <c r="N564" s="18">
        <v>24234147.940000001</v>
      </c>
      <c r="O564" s="22" t="s">
        <v>1381</v>
      </c>
      <c r="Q564" s="13">
        <v>5562</v>
      </c>
      <c r="R564" s="23" t="s">
        <v>134</v>
      </c>
      <c r="S564" s="13" t="s">
        <v>1362</v>
      </c>
      <c r="T564" s="13" t="s">
        <v>16</v>
      </c>
      <c r="U564" s="17">
        <f t="shared" si="20"/>
        <v>15765852.059999999</v>
      </c>
    </row>
    <row r="565" spans="1:21" x14ac:dyDescent="0.3">
      <c r="A565" s="13">
        <v>106</v>
      </c>
      <c r="B565" s="13" t="str">
        <f>+VLOOKUP(A565,'[1]PA 2023'!$A$8:$E$84,5)</f>
        <v>Actualizar e implementar la Política Pública de Mujer.</v>
      </c>
      <c r="C565" s="14">
        <v>2020680010106</v>
      </c>
      <c r="D565" s="14" t="str">
        <f>+VLOOKUP(C565,'[1]PA 2023'!$G$8:$H$84,2,FALSE)</f>
        <v>FORTALECIMIENTO DE ESPACIOS DE PARTICIPACIÓN Y PREVENCIÓN DE VIOLENCIAS EN MUJERES Y POBLACIÓN CON ORIENTACIONES SEXUALES E IDENTIDADES DE GÉNERO DIVERSAS DEL MUNICIPIO DE BUCARAMANGA</v>
      </c>
      <c r="E565" s="13" t="s">
        <v>1378</v>
      </c>
      <c r="F565" s="15">
        <v>112</v>
      </c>
      <c r="G565" s="22" t="s">
        <v>156</v>
      </c>
      <c r="H565" s="21" t="s">
        <v>1379</v>
      </c>
      <c r="I565" s="13" t="s">
        <v>1360</v>
      </c>
      <c r="J565" s="13" t="s">
        <v>1116</v>
      </c>
      <c r="K565" s="16">
        <v>45071</v>
      </c>
      <c r="L565" s="17">
        <v>10000000</v>
      </c>
      <c r="M565" s="17">
        <v>5000000</v>
      </c>
      <c r="N565" s="18">
        <v>5000000</v>
      </c>
      <c r="O565" s="22" t="s">
        <v>1381</v>
      </c>
      <c r="Q565" s="13">
        <v>5562</v>
      </c>
      <c r="R565" s="23" t="s">
        <v>380</v>
      </c>
      <c r="S565" s="13" t="s">
        <v>1362</v>
      </c>
      <c r="T565" s="13" t="s">
        <v>16</v>
      </c>
      <c r="U565" s="17">
        <f t="shared" si="20"/>
        <v>0</v>
      </c>
    </row>
    <row r="566" spans="1:21" x14ac:dyDescent="0.3">
      <c r="A566" s="13">
        <v>107</v>
      </c>
      <c r="B566" s="13" t="str">
        <f>+VLOOKUP(A566,'[1]PA 2023'!$A$8:$E$84,5)</f>
        <v>Formular e implementar 1 política pública para la población con orientación sexual e identidad de género diversa.</v>
      </c>
      <c r="C566" s="14">
        <v>2020680010106</v>
      </c>
      <c r="D566" s="14" t="str">
        <f>+VLOOKUP(C566,'[1]PA 2023'!$G$8:$H$84,2,FALSE)</f>
        <v>FORTALECIMIENTO DE ESPACIOS DE PARTICIPACIÓN Y PREVENCIÓN DE VIOLENCIAS EN MUJERES Y POBLACIÓN CON ORIENTACIONES SEXUALES E IDENTIDADES DE GÉNERO DIVERSAS DEL MUNICIPIO DE BUCARAMANGA</v>
      </c>
      <c r="E566" s="13" t="s">
        <v>1378</v>
      </c>
      <c r="F566" s="15">
        <v>112</v>
      </c>
      <c r="G566" s="22" t="s">
        <v>156</v>
      </c>
      <c r="H566" s="21" t="s">
        <v>1379</v>
      </c>
      <c r="I566" s="13" t="s">
        <v>1360</v>
      </c>
      <c r="J566" s="13" t="s">
        <v>1116</v>
      </c>
      <c r="K566" s="16">
        <v>45071</v>
      </c>
      <c r="L566" s="17">
        <v>0</v>
      </c>
      <c r="M566" s="17">
        <v>5000000</v>
      </c>
      <c r="N566" s="18">
        <f>867497.95+188367.8</f>
        <v>1055865.75</v>
      </c>
      <c r="O566" s="22" t="s">
        <v>1381</v>
      </c>
      <c r="Q566" s="13">
        <v>5562</v>
      </c>
      <c r="R566" s="23" t="s">
        <v>380</v>
      </c>
      <c r="S566" s="13" t="s">
        <v>1362</v>
      </c>
      <c r="T566" s="13" t="s">
        <v>16</v>
      </c>
      <c r="U566" s="17">
        <f t="shared" si="20"/>
        <v>3944134.25</v>
      </c>
    </row>
    <row r="567" spans="1:21" x14ac:dyDescent="0.3">
      <c r="A567" s="13">
        <v>82</v>
      </c>
      <c r="B567" s="13" t="str">
        <f>+VLOOKUP(A567,'[1]PA 2023'!$A$8:$E$84,5)</f>
        <v xml:space="preserve">Mantener el servicio exequial al 100% de los niños, niñas y adolescentes en extrema vulnerabilidad que fallezcan y que sus familias así lo requieran. </v>
      </c>
      <c r="C567" s="14">
        <v>2021680010003</v>
      </c>
      <c r="D567" s="14" t="str">
        <f>+VLOOKUP(C567,'[1]PA 2023'!$G$8:$H$84,2,FALSE)</f>
        <v>IMPLEMENTACIÓN DE ESTRATEGIAS PSICOPEDAGÓGICAS PARA LA DISMINUCIÓN DE FACTORES DE RIESGO EN NIÑOS, NIÑAS Y ADOLESCENTES EN EL MUNICIPIO DE BUCARAMANGA</v>
      </c>
      <c r="E567" s="13" t="s">
        <v>521</v>
      </c>
      <c r="F567" s="15">
        <v>52</v>
      </c>
      <c r="G567" s="22" t="s">
        <v>184</v>
      </c>
      <c r="H567" s="21" t="s">
        <v>185</v>
      </c>
      <c r="I567" s="13" t="s">
        <v>158</v>
      </c>
      <c r="J567" s="13" t="s">
        <v>163</v>
      </c>
      <c r="K567" s="16">
        <v>45083</v>
      </c>
      <c r="L567" s="17">
        <v>-1513201</v>
      </c>
      <c r="M567" s="17">
        <v>-1513201</v>
      </c>
      <c r="N567" s="18">
        <v>0</v>
      </c>
      <c r="O567" s="22" t="s">
        <v>1155</v>
      </c>
      <c r="Q567" s="13">
        <v>2144</v>
      </c>
      <c r="R567" s="23" t="s">
        <v>164</v>
      </c>
      <c r="S567" s="13" t="s">
        <v>162</v>
      </c>
      <c r="T567" s="13" t="s">
        <v>16</v>
      </c>
      <c r="U567" s="26">
        <v>0</v>
      </c>
    </row>
    <row r="568" spans="1:21" x14ac:dyDescent="0.3">
      <c r="A568" s="13">
        <v>98</v>
      </c>
      <c r="B568" s="13" t="str">
        <f>+VLOOKUP(A568,'[1]PA 2023'!$A$8:$E$84,5)</f>
        <v>Mantener el 100% del apoyo logístico a las familias beneficiadas del programa Familias en Acción.</v>
      </c>
      <c r="C568" s="14">
        <v>2020680010072</v>
      </c>
      <c r="D568" s="14" t="str">
        <f>+VLOOKUP(C568,'[1]PA 2023'!$G$8:$H$84,2,FALSE)</f>
        <v>APOYO A LA OPERATIVIDAD DEL PROGRAMA NACIONAL MÁS FAMILIAS EN ACCIÓN EN EL MUNICIPIO DE BUCARAMANGA</v>
      </c>
      <c r="E568" s="13" t="s">
        <v>1386</v>
      </c>
      <c r="F568" s="15" t="s">
        <v>22</v>
      </c>
      <c r="G568" s="22" t="s">
        <v>23</v>
      </c>
      <c r="H568" s="21" t="s">
        <v>23</v>
      </c>
      <c r="I568" s="13" t="s">
        <v>470</v>
      </c>
      <c r="J568" s="13" t="s">
        <v>472</v>
      </c>
      <c r="K568" s="16">
        <v>45083</v>
      </c>
      <c r="L568" s="17">
        <v>70872.960000000006</v>
      </c>
      <c r="M568" s="17">
        <v>70872.960000000006</v>
      </c>
      <c r="N568" s="18">
        <v>70872.960000000006</v>
      </c>
      <c r="O568" s="15" t="s">
        <v>23</v>
      </c>
      <c r="Q568" s="13">
        <v>6204</v>
      </c>
      <c r="R568" s="23" t="s">
        <v>473</v>
      </c>
      <c r="S568" s="13" t="s">
        <v>471</v>
      </c>
      <c r="T568" s="13" t="s">
        <v>16</v>
      </c>
      <c r="U568" s="17">
        <f t="shared" ref="U568:U586" si="21">+M568-N568</f>
        <v>0</v>
      </c>
    </row>
    <row r="569" spans="1:21" x14ac:dyDescent="0.3">
      <c r="A569" s="13">
        <v>93</v>
      </c>
      <c r="B569" s="13" t="str">
        <f>+VLOOKUP(A569,'[1]PA 2023'!$A$8:$E$84,5)</f>
        <v>Mantener en funcionamiento los 3 Centros Vida con la prestacion de servicios integrales y/o dotacion de los mismos cumpliendo con la oferta institucional.</v>
      </c>
      <c r="C569" s="14">
        <v>2020680010040</v>
      </c>
      <c r="D569" s="14" t="str">
        <f>+VLOOKUP(C569,'[1]PA 2023'!$G$8:$H$84,2,FALSE)</f>
        <v>IMPLEMENTACIÓN DE ACCIONES TENDIENTES A MEJORAR LAS CONDICIONES DE LOS ADULTOS MAYORES DEL MUNICIPIO DE BUCARAMANGA</v>
      </c>
      <c r="E569" s="13" t="s">
        <v>1386</v>
      </c>
      <c r="F569" s="15" t="s">
        <v>22</v>
      </c>
      <c r="G569" s="22" t="s">
        <v>23</v>
      </c>
      <c r="H569" s="21" t="s">
        <v>23</v>
      </c>
      <c r="I569" s="13" t="s">
        <v>470</v>
      </c>
      <c r="J569" s="13" t="s">
        <v>25</v>
      </c>
      <c r="K569" s="16">
        <v>45083</v>
      </c>
      <c r="L569" s="17">
        <v>128953.97</v>
      </c>
      <c r="M569" s="17">
        <v>128953.97</v>
      </c>
      <c r="N569" s="18">
        <v>128953.97</v>
      </c>
      <c r="O569" s="15" t="s">
        <v>23</v>
      </c>
      <c r="Q569" s="13">
        <v>6204</v>
      </c>
      <c r="R569" s="23" t="s">
        <v>26</v>
      </c>
      <c r="S569" s="13" t="s">
        <v>471</v>
      </c>
      <c r="T569" s="13" t="s">
        <v>16</v>
      </c>
      <c r="U569" s="17">
        <f t="shared" si="21"/>
        <v>0</v>
      </c>
    </row>
    <row r="570" spans="1:21" x14ac:dyDescent="0.3">
      <c r="A570" s="13">
        <v>283</v>
      </c>
      <c r="B570" s="13" t="str">
        <f>+VLOOKUP(A570,'[1]PA 2023'!$A$8:$E$84,5)</f>
        <v>Formular e implementar 1 estrategia que fortalezca la democracia participativa (Ley 1757 de 2015).</v>
      </c>
      <c r="C570" s="14">
        <v>2022680010029</v>
      </c>
      <c r="D570" s="14" t="str">
        <f>+VLOOKUP(C570,'[1]PA 2023'!$G$8:$H$84,2,FALSE)</f>
        <v>FORTALECIMIENTO DE LA PARTICIPACIÓN CIUDADANA EN EL MUNICIPIO DE BUCARAMANGA</v>
      </c>
      <c r="E570" s="13" t="s">
        <v>1386</v>
      </c>
      <c r="F570" s="15" t="s">
        <v>22</v>
      </c>
      <c r="G570" s="22" t="s">
        <v>23</v>
      </c>
      <c r="H570" s="21" t="s">
        <v>23</v>
      </c>
      <c r="I570" s="13" t="s">
        <v>470</v>
      </c>
      <c r="J570" s="13" t="s">
        <v>468</v>
      </c>
      <c r="K570" s="16">
        <v>45083</v>
      </c>
      <c r="L570" s="17">
        <v>70872.960000000006</v>
      </c>
      <c r="M570" s="17">
        <v>70872.960000000006</v>
      </c>
      <c r="N570" s="18">
        <v>70872.960000000006</v>
      </c>
      <c r="O570" s="15" t="s">
        <v>23</v>
      </c>
      <c r="Q570" s="13">
        <v>6204</v>
      </c>
      <c r="R570" s="23" t="s">
        <v>134</v>
      </c>
      <c r="S570" s="13" t="s">
        <v>471</v>
      </c>
      <c r="T570" s="13" t="s">
        <v>16</v>
      </c>
      <c r="U570" s="17">
        <f t="shared" si="21"/>
        <v>0</v>
      </c>
    </row>
    <row r="571" spans="1:21" x14ac:dyDescent="0.3">
      <c r="A571" s="13">
        <v>300</v>
      </c>
      <c r="B571" s="13" t="str">
        <f>+VLOOKUP(A571,'[1]PA 2023'!$A$8:$E$84,5)</f>
        <v>Mantener el 100% de los programas que desarrolla la Administración Central.</v>
      </c>
      <c r="C571" s="14">
        <v>2023680010016</v>
      </c>
      <c r="D571" s="14" t="str">
        <f>+VLOOKUP(C571,'[1]PA 2023'!$G$8:$H$84,2,FALSE)</f>
        <v>APOYO A LA GESTIÓN ADMINISTRATIVA Y PROCESOS TRANSVERSALES DE LA SECRETARIA DE DESARROLLO SOCIAL DEL MUNICIPIO DE BUCARAMANGA</v>
      </c>
      <c r="E571" s="13" t="s">
        <v>1387</v>
      </c>
      <c r="F571" s="15">
        <v>2209</v>
      </c>
      <c r="G571" s="21" t="s">
        <v>43</v>
      </c>
      <c r="H571" s="21" t="s">
        <v>36</v>
      </c>
      <c r="I571" s="13" t="s">
        <v>81</v>
      </c>
      <c r="J571" s="13" t="s">
        <v>1388</v>
      </c>
      <c r="K571" s="16">
        <v>45083</v>
      </c>
      <c r="L571" s="17">
        <v>27000000</v>
      </c>
      <c r="M571" s="17">
        <v>27000000</v>
      </c>
      <c r="N571" s="18">
        <f>3750000+4500000+4500000</f>
        <v>12750000</v>
      </c>
      <c r="O571" s="22" t="s">
        <v>1389</v>
      </c>
      <c r="Q571" s="13">
        <v>6230</v>
      </c>
      <c r="R571" s="13" t="s">
        <v>1390</v>
      </c>
      <c r="S571" s="13" t="s">
        <v>83</v>
      </c>
      <c r="T571" s="13" t="s">
        <v>16</v>
      </c>
      <c r="U571" s="17">
        <f t="shared" si="21"/>
        <v>14250000</v>
      </c>
    </row>
    <row r="572" spans="1:21" x14ac:dyDescent="0.3">
      <c r="A572" s="13">
        <v>300</v>
      </c>
      <c r="B572" s="13" t="str">
        <f>+VLOOKUP(A572,'[1]PA 2023'!$A$8:$E$84,5)</f>
        <v>Mantener el 100% de los programas que desarrolla la Administración Central.</v>
      </c>
      <c r="C572" s="14">
        <v>2023680010016</v>
      </c>
      <c r="D572" s="14" t="str">
        <f>+VLOOKUP(C572,'[1]PA 2023'!$G$8:$H$84,2,FALSE)</f>
        <v>APOYO A LA GESTIÓN ADMINISTRATIVA Y PROCESOS TRANSVERSALES DE LA SECRETARIA DE DESARROLLO SOCIAL DEL MUNICIPIO DE BUCARAMANGA</v>
      </c>
      <c r="E572" s="13" t="s">
        <v>1391</v>
      </c>
      <c r="F572" s="15">
        <v>2206</v>
      </c>
      <c r="G572" s="21" t="s">
        <v>43</v>
      </c>
      <c r="H572" s="21" t="s">
        <v>36</v>
      </c>
      <c r="I572" s="13" t="s">
        <v>56</v>
      </c>
      <c r="J572" s="13" t="s">
        <v>1388</v>
      </c>
      <c r="K572" s="16">
        <v>45083</v>
      </c>
      <c r="L572" s="17">
        <v>24000000</v>
      </c>
      <c r="M572" s="17">
        <v>24000000</v>
      </c>
      <c r="N572" s="18">
        <f>3333333.33+4000000+4000000</f>
        <v>11333333.33</v>
      </c>
      <c r="O572" s="22" t="s">
        <v>1392</v>
      </c>
      <c r="Q572" s="13">
        <v>6231</v>
      </c>
      <c r="R572" s="13" t="s">
        <v>1390</v>
      </c>
      <c r="S572" s="13" t="s">
        <v>58</v>
      </c>
      <c r="T572" s="13" t="s">
        <v>16</v>
      </c>
      <c r="U572" s="17">
        <f t="shared" si="21"/>
        <v>12666666.67</v>
      </c>
    </row>
    <row r="573" spans="1:21" x14ac:dyDescent="0.3">
      <c r="A573" s="13">
        <v>300</v>
      </c>
      <c r="B573" s="13" t="str">
        <f>+VLOOKUP(A573,'[1]PA 2023'!$A$8:$E$84,5)</f>
        <v>Mantener el 100% de los programas que desarrolla la Administración Central.</v>
      </c>
      <c r="C573" s="14">
        <v>2023680010016</v>
      </c>
      <c r="D573" s="14" t="str">
        <f>+VLOOKUP(C573,'[1]PA 2023'!$G$8:$H$84,2,FALSE)</f>
        <v>APOYO A LA GESTIÓN ADMINISTRATIVA Y PROCESOS TRANSVERSALES DE LA SECRETARIA DE DESARROLLO SOCIAL DEL MUNICIPIO DE BUCARAMANGA</v>
      </c>
      <c r="E573" s="13" t="s">
        <v>1393</v>
      </c>
      <c r="F573" s="15">
        <v>2217</v>
      </c>
      <c r="G573" s="21" t="s">
        <v>35</v>
      </c>
      <c r="H573" s="21" t="s">
        <v>36</v>
      </c>
      <c r="I573" s="13" t="s">
        <v>108</v>
      </c>
      <c r="J573" s="13" t="s">
        <v>1388</v>
      </c>
      <c r="K573" s="16">
        <v>45083</v>
      </c>
      <c r="L573" s="17">
        <v>13800000</v>
      </c>
      <c r="M573" s="17">
        <v>13800000</v>
      </c>
      <c r="N573" s="18">
        <f>1916666.67+2300000+2300000</f>
        <v>6516666.6699999999</v>
      </c>
      <c r="O573" s="22" t="s">
        <v>1394</v>
      </c>
      <c r="Q573" s="13">
        <v>6232</v>
      </c>
      <c r="R573" s="13" t="s">
        <v>1390</v>
      </c>
      <c r="S573" s="13" t="s">
        <v>110</v>
      </c>
      <c r="T573" s="13" t="s">
        <v>16</v>
      </c>
      <c r="U573" s="17">
        <f t="shared" si="21"/>
        <v>7283333.3300000001</v>
      </c>
    </row>
    <row r="574" spans="1:21" x14ac:dyDescent="0.3">
      <c r="A574" s="13">
        <v>300</v>
      </c>
      <c r="B574" s="13" t="str">
        <f>+VLOOKUP(A574,'[1]PA 2023'!$A$8:$E$84,5)</f>
        <v>Mantener el 100% de los programas que desarrolla la Administración Central.</v>
      </c>
      <c r="C574" s="14">
        <v>2020680010025</v>
      </c>
      <c r="D574" s="14" t="str">
        <f>+VLOOKUP(C574,'[1]PA 2023'!$G$8:$H$84,2,FALSE)</f>
        <v>MEJORAMIENTO DE LOS PROCESOS TRANSVERSALES PARA UNA ADMINISTRACIÓN PUBLICA MODERNA Y EFICIENTE EN LA SECRETARÍA DE DESARROLLO SOCIAL DEL MUNICIPIO BUCARAMANGA</v>
      </c>
      <c r="E574" s="13" t="s">
        <v>1395</v>
      </c>
      <c r="F574" s="15">
        <v>2211</v>
      </c>
      <c r="G574" s="21" t="s">
        <v>43</v>
      </c>
      <c r="H574" s="21" t="s">
        <v>36</v>
      </c>
      <c r="I574" s="13" t="s">
        <v>96</v>
      </c>
      <c r="J574" s="13" t="s">
        <v>61</v>
      </c>
      <c r="K574" s="16">
        <v>45083</v>
      </c>
      <c r="L574" s="17">
        <v>31200000</v>
      </c>
      <c r="M574" s="17">
        <v>31200000</v>
      </c>
      <c r="N574" s="18">
        <f>4333333.33+5200000+5200000</f>
        <v>14733333.33</v>
      </c>
      <c r="O574" s="22" t="s">
        <v>1396</v>
      </c>
      <c r="Q574" s="13">
        <v>6233</v>
      </c>
      <c r="R574" s="13" t="s">
        <v>63</v>
      </c>
      <c r="S574" s="13" t="s">
        <v>98</v>
      </c>
      <c r="T574" s="13" t="s">
        <v>16</v>
      </c>
      <c r="U574" s="17">
        <f t="shared" si="21"/>
        <v>16466666.67</v>
      </c>
    </row>
    <row r="575" spans="1:21" x14ac:dyDescent="0.3">
      <c r="A575" s="13">
        <v>300</v>
      </c>
      <c r="B575" s="13" t="str">
        <f>+VLOOKUP(A575,'[1]PA 2023'!$A$8:$E$84,5)</f>
        <v>Mantener el 100% de los programas que desarrolla la Administración Central.</v>
      </c>
      <c r="C575" s="14">
        <v>2023680010016</v>
      </c>
      <c r="D575" s="14" t="str">
        <f>+VLOOKUP(C575,'[1]PA 2023'!$G$8:$H$84,2,FALSE)</f>
        <v>APOYO A LA GESTIÓN ADMINISTRATIVA Y PROCESOS TRANSVERSALES DE LA SECRETARIA DE DESARROLLO SOCIAL DEL MUNICIPIO DE BUCARAMANGA</v>
      </c>
      <c r="E575" s="13" t="s">
        <v>1397</v>
      </c>
      <c r="F575" s="15">
        <v>2208</v>
      </c>
      <c r="G575" s="21" t="s">
        <v>35</v>
      </c>
      <c r="H575" s="21" t="s">
        <v>36</v>
      </c>
      <c r="I575" s="13" t="s">
        <v>37</v>
      </c>
      <c r="J575" s="13" t="s">
        <v>1388</v>
      </c>
      <c r="K575" s="16">
        <v>45083</v>
      </c>
      <c r="L575" s="17">
        <v>18000000</v>
      </c>
      <c r="M575" s="17">
        <v>18000000</v>
      </c>
      <c r="N575" s="18">
        <f>2500000+3000000+3000000</f>
        <v>8500000</v>
      </c>
      <c r="O575" s="22" t="s">
        <v>1398</v>
      </c>
      <c r="Q575" s="13">
        <v>6234</v>
      </c>
      <c r="R575" s="13" t="s">
        <v>1390</v>
      </c>
      <c r="S575" s="13" t="s">
        <v>41</v>
      </c>
      <c r="T575" s="13" t="s">
        <v>16</v>
      </c>
      <c r="U575" s="17">
        <f t="shared" si="21"/>
        <v>9500000</v>
      </c>
    </row>
    <row r="576" spans="1:21" x14ac:dyDescent="0.3">
      <c r="A576" s="13">
        <v>300</v>
      </c>
      <c r="B576" s="13" t="str">
        <f>+VLOOKUP(A576,'[1]PA 2023'!$A$8:$E$84,5)</f>
        <v>Mantener el 100% de los programas que desarrolla la Administración Central.</v>
      </c>
      <c r="C576" s="14">
        <v>2023680010016</v>
      </c>
      <c r="D576" s="14" t="str">
        <f>+VLOOKUP(C576,'[1]PA 2023'!$G$8:$H$84,2,FALSE)</f>
        <v>APOYO A LA GESTIÓN ADMINISTRATIVA Y PROCESOS TRANSVERSALES DE LA SECRETARIA DE DESARROLLO SOCIAL DEL MUNICIPIO DE BUCARAMANGA</v>
      </c>
      <c r="E576" s="13" t="s">
        <v>1399</v>
      </c>
      <c r="F576" s="15">
        <v>2207</v>
      </c>
      <c r="G576" s="21" t="s">
        <v>43</v>
      </c>
      <c r="H576" s="21" t="s">
        <v>36</v>
      </c>
      <c r="I576" s="13" t="s">
        <v>44</v>
      </c>
      <c r="J576" s="13" t="s">
        <v>1388</v>
      </c>
      <c r="K576" s="16">
        <v>45083</v>
      </c>
      <c r="L576" s="17">
        <v>24000000</v>
      </c>
      <c r="M576" s="17">
        <v>24000000</v>
      </c>
      <c r="N576" s="18">
        <f>3333333.33+4000000+4000000</f>
        <v>11333333.33</v>
      </c>
      <c r="O576" s="22" t="s">
        <v>1400</v>
      </c>
      <c r="Q576" s="13">
        <v>6235</v>
      </c>
      <c r="R576" s="13" t="s">
        <v>1390</v>
      </c>
      <c r="S576" s="13" t="s">
        <v>46</v>
      </c>
      <c r="T576" s="13" t="s">
        <v>16</v>
      </c>
      <c r="U576" s="17">
        <f t="shared" si="21"/>
        <v>12666666.67</v>
      </c>
    </row>
    <row r="577" spans="1:21" x14ac:dyDescent="0.3">
      <c r="A577" s="13">
        <v>300</v>
      </c>
      <c r="B577" s="13" t="str">
        <f>+VLOOKUP(A577,'[1]PA 2023'!$A$8:$E$84,5)</f>
        <v>Mantener el 100% de los programas que desarrolla la Administración Central.</v>
      </c>
      <c r="C577" s="14">
        <v>2023680010016</v>
      </c>
      <c r="D577" s="14" t="str">
        <f>+VLOOKUP(C577,'[1]PA 2023'!$G$8:$H$84,2,FALSE)</f>
        <v>APOYO A LA GESTIÓN ADMINISTRATIVA Y PROCESOS TRANSVERSALES DE LA SECRETARIA DE DESARROLLO SOCIAL DEL MUNICIPIO DE BUCARAMANGA</v>
      </c>
      <c r="E577" s="13" t="s">
        <v>1401</v>
      </c>
      <c r="F577" s="15">
        <v>2214</v>
      </c>
      <c r="G577" s="21" t="s">
        <v>43</v>
      </c>
      <c r="H577" s="21" t="s">
        <v>36</v>
      </c>
      <c r="I577" s="13" t="s">
        <v>48</v>
      </c>
      <c r="J577" s="13" t="s">
        <v>1388</v>
      </c>
      <c r="K577" s="16">
        <v>45083</v>
      </c>
      <c r="L577" s="17">
        <v>24000000</v>
      </c>
      <c r="M577" s="17">
        <v>24000000</v>
      </c>
      <c r="N577" s="18">
        <f>3333333.33+4000000+4000000</f>
        <v>11333333.33</v>
      </c>
      <c r="O577" s="22" t="s">
        <v>1402</v>
      </c>
      <c r="Q577" s="13">
        <v>6236</v>
      </c>
      <c r="R577" s="13" t="s">
        <v>1390</v>
      </c>
      <c r="S577" s="13" t="s">
        <v>50</v>
      </c>
      <c r="T577" s="13" t="s">
        <v>16</v>
      </c>
      <c r="U577" s="17">
        <f t="shared" si="21"/>
        <v>12666666.67</v>
      </c>
    </row>
    <row r="578" spans="1:21" x14ac:dyDescent="0.3">
      <c r="A578" s="13">
        <v>300</v>
      </c>
      <c r="B578" s="13" t="str">
        <f>+VLOOKUP(A578,'[1]PA 2023'!$A$8:$E$84,5)</f>
        <v>Mantener el 100% de los programas que desarrolla la Administración Central.</v>
      </c>
      <c r="C578" s="14">
        <v>2023680010016</v>
      </c>
      <c r="D578" s="14" t="str">
        <f>+VLOOKUP(C578,'[1]PA 2023'!$G$8:$H$84,2,FALSE)</f>
        <v>APOYO A LA GESTIÓN ADMINISTRATIVA Y PROCESOS TRANSVERSALES DE LA SECRETARIA DE DESARROLLO SOCIAL DEL MUNICIPIO DE BUCARAMANGA</v>
      </c>
      <c r="E578" s="13" t="s">
        <v>1403</v>
      </c>
      <c r="F578" s="15">
        <v>2205</v>
      </c>
      <c r="G578" s="22" t="s">
        <v>35</v>
      </c>
      <c r="H578" s="21" t="s">
        <v>36</v>
      </c>
      <c r="I578" s="13" t="s">
        <v>70</v>
      </c>
      <c r="J578" s="13" t="s">
        <v>1388</v>
      </c>
      <c r="K578" s="16">
        <v>45083</v>
      </c>
      <c r="L578" s="17">
        <v>15000000</v>
      </c>
      <c r="M578" s="17">
        <v>15000000</v>
      </c>
      <c r="N578" s="18">
        <f>2083333.33+2500000+2500000</f>
        <v>7083333.3300000001</v>
      </c>
      <c r="O578" s="22" t="s">
        <v>1404</v>
      </c>
      <c r="Q578" s="13">
        <v>6237</v>
      </c>
      <c r="R578" s="13" t="s">
        <v>1390</v>
      </c>
      <c r="S578" s="13" t="s">
        <v>72</v>
      </c>
      <c r="T578" s="13" t="s">
        <v>16</v>
      </c>
      <c r="U578" s="17">
        <f t="shared" si="21"/>
        <v>7916666.6699999999</v>
      </c>
    </row>
    <row r="579" spans="1:21" x14ac:dyDescent="0.3">
      <c r="A579" s="13">
        <v>300</v>
      </c>
      <c r="B579" s="13" t="str">
        <f>+VLOOKUP(A579,'[1]PA 2023'!$A$8:$E$84,5)</f>
        <v>Mantener el 100% de los programas que desarrolla la Administración Central.</v>
      </c>
      <c r="C579" s="14">
        <v>2023680010016</v>
      </c>
      <c r="D579" s="14" t="str">
        <f>+VLOOKUP(C579,'[1]PA 2023'!$G$8:$H$84,2,FALSE)</f>
        <v>APOYO A LA GESTIÓN ADMINISTRATIVA Y PROCESOS TRANSVERSALES DE LA SECRETARIA DE DESARROLLO SOCIAL DEL MUNICIPIO DE BUCARAMANGA</v>
      </c>
      <c r="E579" s="13" t="s">
        <v>1405</v>
      </c>
      <c r="F579" s="15">
        <v>2212</v>
      </c>
      <c r="G579" s="21" t="s">
        <v>43</v>
      </c>
      <c r="H579" s="21" t="s">
        <v>36</v>
      </c>
      <c r="I579" s="13" t="s">
        <v>66</v>
      </c>
      <c r="J579" s="13" t="s">
        <v>1388</v>
      </c>
      <c r="K579" s="16">
        <v>45083</v>
      </c>
      <c r="L579" s="17">
        <v>24000000</v>
      </c>
      <c r="M579" s="17">
        <v>24000000</v>
      </c>
      <c r="N579" s="18">
        <f>3333333.33+4000000+4000000</f>
        <v>11333333.33</v>
      </c>
      <c r="O579" s="22" t="s">
        <v>1406</v>
      </c>
      <c r="Q579" s="13">
        <v>6238</v>
      </c>
      <c r="R579" s="13" t="s">
        <v>1390</v>
      </c>
      <c r="S579" s="13" t="s">
        <v>68</v>
      </c>
      <c r="T579" s="13" t="s">
        <v>16</v>
      </c>
      <c r="U579" s="17">
        <f t="shared" si="21"/>
        <v>12666666.67</v>
      </c>
    </row>
    <row r="580" spans="1:21" x14ac:dyDescent="0.3">
      <c r="A580" s="13">
        <v>300</v>
      </c>
      <c r="B580" s="13" t="str">
        <f>+VLOOKUP(A580,'[1]PA 2023'!$A$8:$E$84,5)</f>
        <v>Mantener el 100% de los programas que desarrolla la Administración Central.</v>
      </c>
      <c r="C580" s="14">
        <v>2023680010016</v>
      </c>
      <c r="D580" s="14" t="str">
        <f>+VLOOKUP(C580,'[1]PA 2023'!$G$8:$H$84,2,FALSE)</f>
        <v>APOYO A LA GESTIÓN ADMINISTRATIVA Y PROCESOS TRANSVERSALES DE LA SECRETARIA DE DESARROLLO SOCIAL DEL MUNICIPIO DE BUCARAMANGA</v>
      </c>
      <c r="E580" s="13" t="s">
        <v>1407</v>
      </c>
      <c r="F580" s="15">
        <v>2210</v>
      </c>
      <c r="G580" s="21" t="s">
        <v>43</v>
      </c>
      <c r="H580" s="21" t="s">
        <v>36</v>
      </c>
      <c r="I580" s="13" t="s">
        <v>77</v>
      </c>
      <c r="J580" s="13" t="s">
        <v>1388</v>
      </c>
      <c r="K580" s="16">
        <v>45083</v>
      </c>
      <c r="L580" s="17">
        <v>31200000</v>
      </c>
      <c r="M580" s="17">
        <v>31200000</v>
      </c>
      <c r="N580" s="18">
        <f>4333333.33+5200000+5200000</f>
        <v>14733333.33</v>
      </c>
      <c r="O580" s="22" t="s">
        <v>1408</v>
      </c>
      <c r="Q580" s="13">
        <v>6240</v>
      </c>
      <c r="R580" s="13" t="s">
        <v>1390</v>
      </c>
      <c r="S580" s="13" t="s">
        <v>79</v>
      </c>
      <c r="T580" s="13" t="s">
        <v>16</v>
      </c>
      <c r="U580" s="17">
        <f t="shared" si="21"/>
        <v>16466666.67</v>
      </c>
    </row>
    <row r="581" spans="1:21" x14ac:dyDescent="0.3">
      <c r="A581" s="13">
        <v>300</v>
      </c>
      <c r="B581" s="13" t="str">
        <f>+VLOOKUP(A581,'[1]PA 2023'!$A$8:$E$84,5)</f>
        <v>Mantener el 100% de los programas que desarrolla la Administración Central.</v>
      </c>
      <c r="C581" s="14">
        <v>2023680010016</v>
      </c>
      <c r="D581" s="14" t="str">
        <f>+VLOOKUP(C581,'[1]PA 2023'!$G$8:$H$84,2,FALSE)</f>
        <v>APOYO A LA GESTIÓN ADMINISTRATIVA Y PROCESOS TRANSVERSALES DE LA SECRETARIA DE DESARROLLO SOCIAL DEL MUNICIPIO DE BUCARAMANGA</v>
      </c>
      <c r="E581" s="13" t="s">
        <v>1409</v>
      </c>
      <c r="F581" s="15">
        <v>2218</v>
      </c>
      <c r="G581" s="21" t="s">
        <v>43</v>
      </c>
      <c r="H581" s="21" t="s">
        <v>36</v>
      </c>
      <c r="I581" s="13" t="s">
        <v>460</v>
      </c>
      <c r="J581" s="13" t="s">
        <v>1388</v>
      </c>
      <c r="K581" s="16">
        <v>45083</v>
      </c>
      <c r="L581" s="17">
        <v>18000000</v>
      </c>
      <c r="M581" s="17">
        <v>18000000</v>
      </c>
      <c r="N581" s="18">
        <f>2500000+3000000+3000000</f>
        <v>8500000</v>
      </c>
      <c r="O581" s="22" t="s">
        <v>1410</v>
      </c>
      <c r="Q581" s="13">
        <v>6241</v>
      </c>
      <c r="R581" s="13" t="s">
        <v>1390</v>
      </c>
      <c r="S581" s="13" t="s">
        <v>462</v>
      </c>
      <c r="T581" s="13" t="s">
        <v>16</v>
      </c>
      <c r="U581" s="17">
        <f t="shared" si="21"/>
        <v>9500000</v>
      </c>
    </row>
    <row r="582" spans="1:21" x14ac:dyDescent="0.3">
      <c r="A582" s="13">
        <v>300</v>
      </c>
      <c r="B582" s="13" t="str">
        <f>+VLOOKUP(A582,'[1]PA 2023'!$A$8:$E$84,5)</f>
        <v>Mantener el 100% de los programas que desarrolla la Administración Central.</v>
      </c>
      <c r="C582" s="14">
        <v>2023680010016</v>
      </c>
      <c r="D582" s="14" t="str">
        <f>+VLOOKUP(C582,'[1]PA 2023'!$G$8:$H$84,2,FALSE)</f>
        <v>APOYO A LA GESTIÓN ADMINISTRATIVA Y PROCESOS TRANSVERSALES DE LA SECRETARIA DE DESARROLLO SOCIAL DEL MUNICIPIO DE BUCARAMANGA</v>
      </c>
      <c r="E582" s="13" t="s">
        <v>1391</v>
      </c>
      <c r="F582" s="15">
        <v>2215</v>
      </c>
      <c r="G582" s="21" t="s">
        <v>43</v>
      </c>
      <c r="H582" s="21" t="s">
        <v>36</v>
      </c>
      <c r="I582" s="13" t="s">
        <v>73</v>
      </c>
      <c r="J582" s="13" t="s">
        <v>1388</v>
      </c>
      <c r="K582" s="16">
        <v>45083</v>
      </c>
      <c r="L582" s="17">
        <v>24000000</v>
      </c>
      <c r="M582" s="17">
        <v>24000000</v>
      </c>
      <c r="N582" s="18">
        <f>3333333.33+4000000+4000000</f>
        <v>11333333.33</v>
      </c>
      <c r="O582" s="22" t="s">
        <v>1411</v>
      </c>
      <c r="Q582" s="13">
        <v>6242</v>
      </c>
      <c r="R582" s="13" t="s">
        <v>1390</v>
      </c>
      <c r="S582" s="13" t="s">
        <v>75</v>
      </c>
      <c r="T582" s="13" t="s">
        <v>16</v>
      </c>
      <c r="U582" s="17">
        <f t="shared" si="21"/>
        <v>12666666.67</v>
      </c>
    </row>
    <row r="583" spans="1:21" x14ac:dyDescent="0.3">
      <c r="A583" s="13">
        <v>300</v>
      </c>
      <c r="B583" s="13" t="str">
        <f>+VLOOKUP(A583,'[1]PA 2023'!$A$8:$E$84,5)</f>
        <v>Mantener el 100% de los programas que desarrolla la Administración Central.</v>
      </c>
      <c r="C583" s="14">
        <v>2023680010016</v>
      </c>
      <c r="D583" s="14" t="str">
        <f>+VLOOKUP(C583,'[1]PA 2023'!$G$8:$H$84,2,FALSE)</f>
        <v>APOYO A LA GESTIÓN ADMINISTRATIVA Y PROCESOS TRANSVERSALES DE LA SECRETARIA DE DESARROLLO SOCIAL DEL MUNICIPIO DE BUCARAMANGA</v>
      </c>
      <c r="E583" s="13" t="s">
        <v>1412</v>
      </c>
      <c r="F583" s="15">
        <v>2216</v>
      </c>
      <c r="G583" s="21" t="s">
        <v>35</v>
      </c>
      <c r="H583" s="21" t="s">
        <v>36</v>
      </c>
      <c r="I583" s="13" t="s">
        <v>93</v>
      </c>
      <c r="J583" s="13" t="s">
        <v>1388</v>
      </c>
      <c r="K583" s="16">
        <v>45083</v>
      </c>
      <c r="L583" s="17">
        <v>18000000</v>
      </c>
      <c r="M583" s="17">
        <v>18000000</v>
      </c>
      <c r="N583" s="18">
        <f>2500000+3000000+3000000</f>
        <v>8500000</v>
      </c>
      <c r="O583" s="22" t="s">
        <v>1413</v>
      </c>
      <c r="Q583" s="13">
        <v>6243</v>
      </c>
      <c r="R583" s="13" t="s">
        <v>1390</v>
      </c>
      <c r="S583" s="13" t="s">
        <v>95</v>
      </c>
      <c r="T583" s="13" t="s">
        <v>16</v>
      </c>
      <c r="U583" s="17">
        <f t="shared" si="21"/>
        <v>9500000</v>
      </c>
    </row>
    <row r="584" spans="1:21" x14ac:dyDescent="0.3">
      <c r="A584" s="13">
        <v>300</v>
      </c>
      <c r="B584" s="13" t="str">
        <f>+VLOOKUP(A584,'[1]PA 2023'!$A$8:$E$84,5)</f>
        <v>Mantener el 100% de los programas que desarrolla la Administración Central.</v>
      </c>
      <c r="C584" s="14">
        <v>2023680010016</v>
      </c>
      <c r="D584" s="14" t="str">
        <f>+VLOOKUP(C584,'[1]PA 2023'!$G$8:$H$84,2,FALSE)</f>
        <v>APOYO A LA GESTIÓN ADMINISTRATIVA Y PROCESOS TRANSVERSALES DE LA SECRETARIA DE DESARROLLO SOCIAL DEL MUNICIPIO DE BUCARAMANGA</v>
      </c>
      <c r="E584" s="13" t="s">
        <v>1391</v>
      </c>
      <c r="F584" s="15">
        <v>2213</v>
      </c>
      <c r="G584" s="21" t="s">
        <v>43</v>
      </c>
      <c r="H584" s="21" t="s">
        <v>36</v>
      </c>
      <c r="I584" s="13" t="s">
        <v>52</v>
      </c>
      <c r="J584" s="13" t="s">
        <v>1414</v>
      </c>
      <c r="K584" s="16">
        <v>45083</v>
      </c>
      <c r="L584" s="17">
        <v>24000000</v>
      </c>
      <c r="M584" s="17">
        <v>24000000</v>
      </c>
      <c r="N584" s="18">
        <f>3333333.33+4000000+4000000</f>
        <v>11333333.33</v>
      </c>
      <c r="O584" s="22" t="s">
        <v>1415</v>
      </c>
      <c r="Q584" s="13">
        <v>6244</v>
      </c>
      <c r="R584" s="13" t="s">
        <v>1416</v>
      </c>
      <c r="S584" s="13" t="s">
        <v>54</v>
      </c>
      <c r="T584" s="13" t="s">
        <v>16</v>
      </c>
      <c r="U584" s="17">
        <f t="shared" si="21"/>
        <v>12666666.67</v>
      </c>
    </row>
    <row r="585" spans="1:21" x14ac:dyDescent="0.3">
      <c r="A585" s="13">
        <v>300</v>
      </c>
      <c r="B585" s="13" t="str">
        <f>+VLOOKUP(A585,'[1]PA 2023'!$A$8:$E$84,5)</f>
        <v>Mantener el 100% de los programas que desarrolla la Administración Central.</v>
      </c>
      <c r="C585" s="14">
        <v>2023680010016</v>
      </c>
      <c r="D585" s="14" t="str">
        <f>+VLOOKUP(C585,'[1]PA 2023'!$G$8:$H$84,2,FALSE)</f>
        <v>APOYO A LA GESTIÓN ADMINISTRATIVA Y PROCESOS TRANSVERSALES DE LA SECRETARIA DE DESARROLLO SOCIAL DEL MUNICIPIO DE BUCARAMANGA</v>
      </c>
      <c r="E585" s="13" t="s">
        <v>88</v>
      </c>
      <c r="F585" s="15">
        <v>2219</v>
      </c>
      <c r="G585" s="21" t="s">
        <v>43</v>
      </c>
      <c r="H585" s="21" t="s">
        <v>36</v>
      </c>
      <c r="I585" s="13" t="s">
        <v>89</v>
      </c>
      <c r="J585" s="13" t="s">
        <v>1388</v>
      </c>
      <c r="K585" s="16">
        <v>45083</v>
      </c>
      <c r="L585" s="17">
        <v>24000000</v>
      </c>
      <c r="M585" s="17">
        <v>24000000</v>
      </c>
      <c r="N585" s="18">
        <f>3333333.33+4000000+4000000</f>
        <v>11333333.33</v>
      </c>
      <c r="O585" s="22" t="s">
        <v>1417</v>
      </c>
      <c r="Q585" s="13">
        <v>6245</v>
      </c>
      <c r="R585" s="13" t="s">
        <v>1390</v>
      </c>
      <c r="S585" s="13" t="s">
        <v>91</v>
      </c>
      <c r="T585" s="13" t="s">
        <v>16</v>
      </c>
      <c r="U585" s="17">
        <f t="shared" si="21"/>
        <v>12666666.67</v>
      </c>
    </row>
    <row r="586" spans="1:21" x14ac:dyDescent="0.3">
      <c r="A586" s="13">
        <v>300</v>
      </c>
      <c r="B586" s="13" t="str">
        <f>+VLOOKUP(A586,'[1]PA 2023'!$A$8:$E$84,5)</f>
        <v>Mantener el 100% de los programas que desarrolla la Administración Central.</v>
      </c>
      <c r="C586" s="14">
        <v>2023680010016</v>
      </c>
      <c r="D586" s="14" t="str">
        <f>+VLOOKUP(C586,'[1]PA 2023'!$G$8:$H$84,2,FALSE)</f>
        <v>APOYO A LA GESTIÓN ADMINISTRATIVA Y PROCESOS TRANSVERSALES DE LA SECRETARIA DE DESARROLLO SOCIAL DEL MUNICIPIO DE BUCARAMANGA</v>
      </c>
      <c r="E586" s="13" t="s">
        <v>1418</v>
      </c>
      <c r="F586" s="15">
        <v>2226</v>
      </c>
      <c r="G586" s="21" t="s">
        <v>35</v>
      </c>
      <c r="H586" s="21" t="s">
        <v>36</v>
      </c>
      <c r="I586" s="13" t="s">
        <v>754</v>
      </c>
      <c r="J586" s="13" t="s">
        <v>1388</v>
      </c>
      <c r="K586" s="16">
        <v>45083</v>
      </c>
      <c r="L586" s="17">
        <v>16800000</v>
      </c>
      <c r="M586" s="17">
        <v>16800000</v>
      </c>
      <c r="N586" s="18">
        <f>2240000+2800000+2800000</f>
        <v>7840000</v>
      </c>
      <c r="O586" s="22" t="s">
        <v>1419</v>
      </c>
      <c r="Q586" s="13">
        <v>6246</v>
      </c>
      <c r="R586" s="13" t="s">
        <v>1390</v>
      </c>
      <c r="S586" s="13" t="s">
        <v>756</v>
      </c>
      <c r="T586" s="13" t="s">
        <v>16</v>
      </c>
      <c r="U586" s="17">
        <f t="shared" si="21"/>
        <v>8960000</v>
      </c>
    </row>
    <row r="587" spans="1:21" x14ac:dyDescent="0.3">
      <c r="A587" s="13">
        <v>112</v>
      </c>
      <c r="B587" s="13" t="str">
        <f>+VLOOKUP(A587,'[1]PA 2023'!$A$8:$E$84,5)</f>
        <v>Mantener a 284 habitantes de calle con atención integral en la cual se incluya la prestación de servicios básicos.</v>
      </c>
      <c r="C587" s="14">
        <v>2020680010050</v>
      </c>
      <c r="D587" s="14" t="str">
        <f>+VLOOKUP(C587,'[1]PA 2023'!$G$8:$H$84,2,FALSE)</f>
        <v>DESARROLLO DE ACCIONES ENCAMINADAS A GENERAR ATENCIÓN INTEGRAL HACIA LA POBLACIÓN HABITANTES EN SITUACIÓN DE CALLE DEL MUNICIPIO DE BUCARAMANGA</v>
      </c>
      <c r="E587" s="13" t="s">
        <v>183</v>
      </c>
      <c r="F587" s="15">
        <v>119</v>
      </c>
      <c r="G587" s="22" t="s">
        <v>184</v>
      </c>
      <c r="H587" s="21" t="s">
        <v>185</v>
      </c>
      <c r="I587" s="13" t="s">
        <v>186</v>
      </c>
      <c r="J587" s="13" t="s">
        <v>180</v>
      </c>
      <c r="K587" s="16">
        <v>45084</v>
      </c>
      <c r="L587" s="17">
        <v>-1687511</v>
      </c>
      <c r="M587" s="17">
        <v>-1687511</v>
      </c>
      <c r="N587" s="18">
        <v>0</v>
      </c>
      <c r="O587" s="22" t="s">
        <v>187</v>
      </c>
      <c r="Q587" s="13">
        <v>1376</v>
      </c>
      <c r="R587" s="23" t="s">
        <v>161</v>
      </c>
      <c r="S587" s="13" t="s">
        <v>188</v>
      </c>
      <c r="T587" s="13" t="s">
        <v>16</v>
      </c>
      <c r="U587" s="26">
        <v>0</v>
      </c>
    </row>
    <row r="588" spans="1:21" x14ac:dyDescent="0.3">
      <c r="A588" s="13">
        <v>92</v>
      </c>
      <c r="B588" s="13" t="str">
        <f>+VLOOKUP(A588,'[1]PA 2023'!$A$8:$E$84,5)</f>
        <v>Mantener a 1.656 personas mayores vulnerables con atencion integral en instituciones especializadas a través de las modalidades centros vida y centros de bienestar en el marco de la Ley 1276 de 2009.</v>
      </c>
      <c r="C588" s="14">
        <v>2020680010040</v>
      </c>
      <c r="D588" s="14" t="str">
        <f>+VLOOKUP(C588,'[1]PA 2023'!$G$8:$H$84,2,FALSE)</f>
        <v>IMPLEMENTACIÓN DE ACCIONES TENDIENTES A MEJORAR LAS CONDICIONES DE LOS ADULTOS MAYORES DEL MUNICIPIO DE BUCARAMANGA</v>
      </c>
      <c r="E588" s="13" t="s">
        <v>370</v>
      </c>
      <c r="F588" s="15">
        <v>150</v>
      </c>
      <c r="G588" s="22" t="s">
        <v>184</v>
      </c>
      <c r="H588" s="21" t="s">
        <v>185</v>
      </c>
      <c r="I588" s="13" t="s">
        <v>371</v>
      </c>
      <c r="J588" s="13" t="s">
        <v>372</v>
      </c>
      <c r="K588" s="16">
        <v>45084</v>
      </c>
      <c r="L588" s="17">
        <v>-5170600</v>
      </c>
      <c r="M588" s="17">
        <v>-5170600</v>
      </c>
      <c r="N588" s="18">
        <v>0</v>
      </c>
      <c r="O588" s="22" t="s">
        <v>373</v>
      </c>
      <c r="Q588" s="13">
        <v>1675</v>
      </c>
      <c r="R588" s="23" t="s">
        <v>374</v>
      </c>
      <c r="S588" s="13" t="s">
        <v>375</v>
      </c>
      <c r="T588" s="13" t="s">
        <v>16</v>
      </c>
      <c r="U588" s="26">
        <v>0</v>
      </c>
    </row>
    <row r="589" spans="1:21" x14ac:dyDescent="0.3">
      <c r="A589" s="13">
        <v>92</v>
      </c>
      <c r="B589" s="13" t="str">
        <f>+VLOOKUP(A589,'[1]PA 2023'!$A$8:$E$84,5)</f>
        <v>Mantener a 1.656 personas mayores vulnerables con atencion integral en instituciones especializadas a través de las modalidades centros vida y centros de bienestar en el marco de la Ley 1276 de 2009.</v>
      </c>
      <c r="C589" s="14">
        <v>2020680010040</v>
      </c>
      <c r="D589" s="14" t="str">
        <f>+VLOOKUP(C589,'[1]PA 2023'!$G$8:$H$84,2,FALSE)</f>
        <v>IMPLEMENTACIÓN DE ACCIONES TENDIENTES A MEJORAR LAS CONDICIONES DE LOS ADULTOS MAYORES DEL MUNICIPIO DE BUCARAMANGA</v>
      </c>
      <c r="E589" s="13" t="s">
        <v>408</v>
      </c>
      <c r="F589" s="15">
        <v>150</v>
      </c>
      <c r="G589" s="22" t="s">
        <v>184</v>
      </c>
      <c r="H589" s="21" t="s">
        <v>185</v>
      </c>
      <c r="I589" s="13" t="s">
        <v>371</v>
      </c>
      <c r="J589" s="13" t="s">
        <v>384</v>
      </c>
      <c r="K589" s="16">
        <v>45084</v>
      </c>
      <c r="L589" s="17">
        <v>-1274000</v>
      </c>
      <c r="M589" s="17">
        <v>-1274000</v>
      </c>
      <c r="N589" s="18">
        <v>0</v>
      </c>
      <c r="O589" s="22" t="s">
        <v>373</v>
      </c>
      <c r="Q589" s="13">
        <v>1833</v>
      </c>
      <c r="R589" s="23" t="s">
        <v>386</v>
      </c>
      <c r="S589" s="13" t="s">
        <v>375</v>
      </c>
      <c r="T589" s="13" t="s">
        <v>16</v>
      </c>
      <c r="U589" s="26">
        <v>0</v>
      </c>
    </row>
    <row r="590" spans="1:21" x14ac:dyDescent="0.3">
      <c r="A590" s="13">
        <v>92</v>
      </c>
      <c r="B590" s="13" t="str">
        <f>+VLOOKUP(A590,'[1]PA 2023'!$A$8:$E$84,5)</f>
        <v>Mantener a 1.656 personas mayores vulnerables con atencion integral en instituciones especializadas a través de las modalidades centros vida y centros de bienestar en el marco de la Ley 1276 de 2009.</v>
      </c>
      <c r="C590" s="14">
        <v>2020680010040</v>
      </c>
      <c r="D590" s="14" t="str">
        <f>+VLOOKUP(C590,'[1]PA 2023'!$G$8:$H$84,2,FALSE)</f>
        <v>IMPLEMENTACIÓN DE ACCIONES TENDIENTES A MEJORAR LAS CONDICIONES DE LOS ADULTOS MAYORES DEL MUNICIPIO DE BUCARAMANGA</v>
      </c>
      <c r="E590" s="13" t="s">
        <v>416</v>
      </c>
      <c r="F590" s="15">
        <v>155</v>
      </c>
      <c r="G590" s="22" t="s">
        <v>184</v>
      </c>
      <c r="H590" s="21" t="s">
        <v>185</v>
      </c>
      <c r="I590" s="13" t="s">
        <v>417</v>
      </c>
      <c r="J590" s="13" t="s">
        <v>384</v>
      </c>
      <c r="K590" s="16">
        <v>45084</v>
      </c>
      <c r="L590" s="17">
        <v>-770000</v>
      </c>
      <c r="M590" s="17">
        <v>-770000</v>
      </c>
      <c r="N590" s="18">
        <v>0</v>
      </c>
      <c r="O590" s="22" t="s">
        <v>418</v>
      </c>
      <c r="Q590" s="13">
        <v>1838</v>
      </c>
      <c r="R590" s="23" t="s">
        <v>386</v>
      </c>
      <c r="S590" s="13" t="s">
        <v>419</v>
      </c>
      <c r="T590" s="13" t="s">
        <v>16</v>
      </c>
      <c r="U590" s="26">
        <v>0</v>
      </c>
    </row>
    <row r="591" spans="1:21" x14ac:dyDescent="0.3">
      <c r="A591" s="13">
        <v>92</v>
      </c>
      <c r="B591" s="13" t="str">
        <f>+VLOOKUP(A591,'[1]PA 2023'!$A$8:$E$84,5)</f>
        <v>Mantener a 1.656 personas mayores vulnerables con atencion integral en instituciones especializadas a través de las modalidades centros vida y centros de bienestar en el marco de la Ley 1276 de 2009.</v>
      </c>
      <c r="C591" s="14">
        <v>2020680010040</v>
      </c>
      <c r="D591" s="14" t="str">
        <f>+VLOOKUP(C591,'[1]PA 2023'!$G$8:$H$84,2,FALSE)</f>
        <v>IMPLEMENTACIÓN DE ACCIONES TENDIENTES A MEJORAR LAS CONDICIONES DE LOS ADULTOS MAYORES DEL MUNICIPIO DE BUCARAMANGA</v>
      </c>
      <c r="E591" s="13" t="s">
        <v>416</v>
      </c>
      <c r="F591" s="15">
        <v>155</v>
      </c>
      <c r="G591" s="22" t="s">
        <v>184</v>
      </c>
      <c r="H591" s="21" t="s">
        <v>185</v>
      </c>
      <c r="I591" s="13" t="s">
        <v>417</v>
      </c>
      <c r="J591" s="13" t="s">
        <v>372</v>
      </c>
      <c r="K591" s="16">
        <v>45084</v>
      </c>
      <c r="L591" s="17">
        <v>-11350600</v>
      </c>
      <c r="M591" s="17">
        <v>-11350600</v>
      </c>
      <c r="N591" s="18">
        <v>0</v>
      </c>
      <c r="O591" s="22" t="s">
        <v>418</v>
      </c>
      <c r="Q591" s="13">
        <v>1839</v>
      </c>
      <c r="R591" s="23" t="s">
        <v>374</v>
      </c>
      <c r="S591" s="13" t="s">
        <v>419</v>
      </c>
      <c r="T591" s="13" t="s">
        <v>16</v>
      </c>
      <c r="U591" s="26">
        <v>0</v>
      </c>
    </row>
    <row r="592" spans="1:21" x14ac:dyDescent="0.3">
      <c r="A592" s="13">
        <v>92</v>
      </c>
      <c r="B592" s="13" t="str">
        <f>+VLOOKUP(A592,'[1]PA 2023'!$A$8:$E$84,5)</f>
        <v>Mantener a 1.656 personas mayores vulnerables con atencion integral en instituciones especializadas a través de las modalidades centros vida y centros de bienestar en el marco de la Ley 1276 de 2009.</v>
      </c>
      <c r="C592" s="14">
        <v>2020680010040</v>
      </c>
      <c r="D592" s="14" t="str">
        <f>+VLOOKUP(C592,'[1]PA 2023'!$G$8:$H$84,2,FALSE)</f>
        <v>IMPLEMENTACIÓN DE ACCIONES TENDIENTES A MEJORAR LAS CONDICIONES DE LOS ADULTOS MAYORES DEL MUNICIPIO DE BUCARAMANGA</v>
      </c>
      <c r="E592" s="13" t="s">
        <v>420</v>
      </c>
      <c r="F592" s="15">
        <v>156</v>
      </c>
      <c r="G592" s="22" t="s">
        <v>184</v>
      </c>
      <c r="H592" s="21" t="s">
        <v>185</v>
      </c>
      <c r="I592" s="13" t="s">
        <v>421</v>
      </c>
      <c r="J592" s="13" t="s">
        <v>384</v>
      </c>
      <c r="K592" s="16">
        <v>45084</v>
      </c>
      <c r="L592" s="17">
        <v>-378000</v>
      </c>
      <c r="M592" s="17">
        <v>-378000</v>
      </c>
      <c r="N592" s="18">
        <v>0</v>
      </c>
      <c r="O592" s="22" t="s">
        <v>422</v>
      </c>
      <c r="Q592" s="13">
        <v>1840</v>
      </c>
      <c r="R592" s="23" t="s">
        <v>386</v>
      </c>
      <c r="S592" s="13" t="s">
        <v>423</v>
      </c>
      <c r="T592" s="13" t="s">
        <v>16</v>
      </c>
      <c r="U592" s="26">
        <v>0</v>
      </c>
    </row>
    <row r="593" spans="1:21" x14ac:dyDescent="0.3">
      <c r="A593" s="13">
        <v>92</v>
      </c>
      <c r="B593" s="13" t="str">
        <f>+VLOOKUP(A593,'[1]PA 2023'!$A$8:$E$84,5)</f>
        <v>Mantener a 1.656 personas mayores vulnerables con atencion integral en instituciones especializadas a través de las modalidades centros vida y centros de bienestar en el marco de la Ley 1276 de 2009.</v>
      </c>
      <c r="C593" s="14">
        <v>2020680010040</v>
      </c>
      <c r="D593" s="14" t="str">
        <f>+VLOOKUP(C593,'[1]PA 2023'!$G$8:$H$84,2,FALSE)</f>
        <v>IMPLEMENTACIÓN DE ACCIONES TENDIENTES A MEJORAR LAS CONDICIONES DE LOS ADULTOS MAYORES DEL MUNICIPIO DE BUCARAMANGA</v>
      </c>
      <c r="E593" s="13" t="s">
        <v>420</v>
      </c>
      <c r="F593" s="15">
        <v>156</v>
      </c>
      <c r="G593" s="22" t="s">
        <v>184</v>
      </c>
      <c r="H593" s="21" t="s">
        <v>185</v>
      </c>
      <c r="I593" s="13" t="s">
        <v>421</v>
      </c>
      <c r="J593" s="13" t="s">
        <v>372</v>
      </c>
      <c r="K593" s="16">
        <v>45084</v>
      </c>
      <c r="L593" s="17">
        <v>-1019700</v>
      </c>
      <c r="M593" s="17">
        <v>-1019700</v>
      </c>
      <c r="N593" s="18">
        <v>0</v>
      </c>
      <c r="O593" s="22" t="s">
        <v>422</v>
      </c>
      <c r="Q593" s="13">
        <v>1841</v>
      </c>
      <c r="R593" s="23" t="s">
        <v>374</v>
      </c>
      <c r="S593" s="13" t="s">
        <v>423</v>
      </c>
      <c r="T593" s="13" t="s">
        <v>16</v>
      </c>
      <c r="U593" s="26">
        <v>0</v>
      </c>
    </row>
    <row r="594" spans="1:21" x14ac:dyDescent="0.3">
      <c r="A594" s="13">
        <v>92</v>
      </c>
      <c r="B594" s="13" t="str">
        <f>+VLOOKUP(A594,'[1]PA 2023'!$A$8:$E$84,5)</f>
        <v>Mantener a 1.656 personas mayores vulnerables con atencion integral en instituciones especializadas a través de las modalidades centros vida y centros de bienestar en el marco de la Ley 1276 de 2009.</v>
      </c>
      <c r="C594" s="14">
        <v>2020680010040</v>
      </c>
      <c r="D594" s="14" t="str">
        <f>+VLOOKUP(C594,'[1]PA 2023'!$G$8:$H$84,2,FALSE)</f>
        <v>IMPLEMENTACIÓN DE ACCIONES TENDIENTES A MEJORAR LAS CONDICIONES DE LOS ADULTOS MAYORES DEL MUNICIPIO DE BUCARAMANGA</v>
      </c>
      <c r="E594" s="13" t="s">
        <v>428</v>
      </c>
      <c r="F594" s="15">
        <v>159</v>
      </c>
      <c r="G594" s="22" t="s">
        <v>184</v>
      </c>
      <c r="H594" s="21" t="s">
        <v>185</v>
      </c>
      <c r="I594" s="13" t="s">
        <v>429</v>
      </c>
      <c r="J594" s="13" t="s">
        <v>384</v>
      </c>
      <c r="K594" s="16">
        <v>45084</v>
      </c>
      <c r="L594" s="17">
        <v>-3514000</v>
      </c>
      <c r="M594" s="17">
        <v>-3514000</v>
      </c>
      <c r="N594" s="18">
        <v>0</v>
      </c>
      <c r="O594" s="22" t="s">
        <v>430</v>
      </c>
      <c r="Q594" s="13">
        <v>1844</v>
      </c>
      <c r="R594" s="23" t="s">
        <v>386</v>
      </c>
      <c r="S594" s="13" t="s">
        <v>431</v>
      </c>
      <c r="T594" s="13" t="s">
        <v>16</v>
      </c>
      <c r="U594" s="26">
        <v>0</v>
      </c>
    </row>
    <row r="595" spans="1:21" x14ac:dyDescent="0.3">
      <c r="A595" s="13">
        <v>92</v>
      </c>
      <c r="B595" s="13" t="str">
        <f>+VLOOKUP(A595,'[1]PA 2023'!$A$8:$E$84,5)</f>
        <v>Mantener a 1.656 personas mayores vulnerables con atencion integral en instituciones especializadas a través de las modalidades centros vida y centros de bienestar en el marco de la Ley 1276 de 2009.</v>
      </c>
      <c r="C595" s="14">
        <v>2020680010040</v>
      </c>
      <c r="D595" s="14" t="str">
        <f>+VLOOKUP(C595,'[1]PA 2023'!$G$8:$H$84,2,FALSE)</f>
        <v>IMPLEMENTACIÓN DE ACCIONES TENDIENTES A MEJORAR LAS CONDICIONES DE LOS ADULTOS MAYORES DEL MUNICIPIO DE BUCARAMANGA</v>
      </c>
      <c r="E595" s="13" t="s">
        <v>434</v>
      </c>
      <c r="F595" s="15">
        <v>161</v>
      </c>
      <c r="G595" s="22" t="s">
        <v>184</v>
      </c>
      <c r="H595" s="21" t="s">
        <v>185</v>
      </c>
      <c r="I595" s="13" t="s">
        <v>435</v>
      </c>
      <c r="J595" s="13" t="s">
        <v>384</v>
      </c>
      <c r="K595" s="16">
        <v>45084</v>
      </c>
      <c r="L595" s="17">
        <v>-11088000</v>
      </c>
      <c r="M595" s="17">
        <v>-11088000</v>
      </c>
      <c r="N595" s="18">
        <v>0</v>
      </c>
      <c r="O595" s="22" t="s">
        <v>436</v>
      </c>
      <c r="Q595" s="13">
        <v>1847</v>
      </c>
      <c r="R595" s="23" t="s">
        <v>386</v>
      </c>
      <c r="S595" s="13" t="s">
        <v>437</v>
      </c>
      <c r="T595" s="13" t="s">
        <v>16</v>
      </c>
      <c r="U595" s="26">
        <v>0</v>
      </c>
    </row>
    <row r="596" spans="1:21" x14ac:dyDescent="0.3">
      <c r="A596" s="13">
        <v>92</v>
      </c>
      <c r="B596" s="13" t="str">
        <f>+VLOOKUP(A596,'[1]PA 2023'!$A$8:$E$84,5)</f>
        <v>Mantener a 1.656 personas mayores vulnerables con atencion integral en instituciones especializadas a través de las modalidades centros vida y centros de bienestar en el marco de la Ley 1276 de 2009.</v>
      </c>
      <c r="C596" s="14">
        <v>2020680010040</v>
      </c>
      <c r="D596" s="14" t="str">
        <f>+VLOOKUP(C596,'[1]PA 2023'!$G$8:$H$84,2,FALSE)</f>
        <v>IMPLEMENTACIÓN DE ACCIONES TENDIENTES A MEJORAR LAS CONDICIONES DE LOS ADULTOS MAYORES DEL MUNICIPIO DE BUCARAMANGA</v>
      </c>
      <c r="E596" s="13" t="s">
        <v>434</v>
      </c>
      <c r="F596" s="15">
        <v>161</v>
      </c>
      <c r="G596" s="22" t="s">
        <v>184</v>
      </c>
      <c r="H596" s="21" t="s">
        <v>185</v>
      </c>
      <c r="I596" s="13" t="s">
        <v>435</v>
      </c>
      <c r="J596" s="13" t="s">
        <v>372</v>
      </c>
      <c r="K596" s="16">
        <v>45084</v>
      </c>
      <c r="L596" s="17">
        <v>-7220300</v>
      </c>
      <c r="M596" s="17">
        <v>-7220300</v>
      </c>
      <c r="N596" s="18">
        <v>0</v>
      </c>
      <c r="O596" s="22" t="s">
        <v>436</v>
      </c>
      <c r="Q596" s="13">
        <v>1848</v>
      </c>
      <c r="R596" s="23" t="s">
        <v>374</v>
      </c>
      <c r="S596" s="13" t="s">
        <v>437</v>
      </c>
      <c r="T596" s="13" t="s">
        <v>16</v>
      </c>
      <c r="U596" s="26">
        <v>0</v>
      </c>
    </row>
    <row r="597" spans="1:21" x14ac:dyDescent="0.3">
      <c r="A597" s="13">
        <v>112</v>
      </c>
      <c r="B597" s="13" t="str">
        <f>+VLOOKUP(A597,'[1]PA 2023'!$A$8:$E$84,5)</f>
        <v>Mantener a 284 habitantes de calle con atención integral en la cual se incluya la prestación de servicios básicos.</v>
      </c>
      <c r="C597" s="14">
        <v>2020680010050</v>
      </c>
      <c r="D597" s="14" t="str">
        <f>+VLOOKUP(C597,'[1]PA 2023'!$G$8:$H$84,2,FALSE)</f>
        <v>DESARROLLO DE ACCIONES ENCAMINADAS A GENERAR ATENCIÓN INTEGRAL HACIA LA POBLACIÓN HABITANTES EN SITUACIÓN DE CALLE DEL MUNICIPIO DE BUCARAMANGA</v>
      </c>
      <c r="E597" s="13" t="s">
        <v>442</v>
      </c>
      <c r="F597" s="15">
        <v>118</v>
      </c>
      <c r="G597" s="22" t="s">
        <v>177</v>
      </c>
      <c r="H597" s="21" t="s">
        <v>178</v>
      </c>
      <c r="I597" s="13" t="s">
        <v>429</v>
      </c>
      <c r="J597" s="13" t="s">
        <v>180</v>
      </c>
      <c r="K597" s="16">
        <v>45084</v>
      </c>
      <c r="L597" s="17">
        <v>-41522741</v>
      </c>
      <c r="M597" s="17">
        <v>-41522741</v>
      </c>
      <c r="N597" s="18">
        <v>0</v>
      </c>
      <c r="O597" s="22" t="s">
        <v>443</v>
      </c>
      <c r="Q597" s="13">
        <v>1850</v>
      </c>
      <c r="R597" s="23" t="s">
        <v>161</v>
      </c>
      <c r="S597" s="13" t="s">
        <v>431</v>
      </c>
      <c r="T597" s="13" t="s">
        <v>16</v>
      </c>
      <c r="U597" s="26">
        <v>0</v>
      </c>
    </row>
    <row r="598" spans="1:21" x14ac:dyDescent="0.3">
      <c r="A598" s="13">
        <v>92</v>
      </c>
      <c r="B598" s="13" t="str">
        <f>+VLOOKUP(A598,'[1]PA 2023'!$A$8:$E$84,5)</f>
        <v>Mantener a 1.656 personas mayores vulnerables con atencion integral en instituciones especializadas a través de las modalidades centros vida y centros de bienestar en el marco de la Ley 1276 de 2009.</v>
      </c>
      <c r="C598" s="14">
        <v>2020680010040</v>
      </c>
      <c r="D598" s="14" t="str">
        <f>+VLOOKUP(C598,'[1]PA 2023'!$G$8:$H$84,2,FALSE)</f>
        <v>IMPLEMENTACIÓN DE ACCIONES TENDIENTES A MEJORAR LAS CONDICIONES DE LOS ADULTOS MAYORES DEL MUNICIPIO DE BUCARAMANGA</v>
      </c>
      <c r="E598" s="13" t="s">
        <v>424</v>
      </c>
      <c r="F598" s="15">
        <v>158</v>
      </c>
      <c r="G598" s="22" t="s">
        <v>184</v>
      </c>
      <c r="H598" s="21" t="s">
        <v>185</v>
      </c>
      <c r="I598" s="13" t="s">
        <v>425</v>
      </c>
      <c r="J598" s="13" t="s">
        <v>384</v>
      </c>
      <c r="K598" s="16">
        <v>45084</v>
      </c>
      <c r="L598" s="17">
        <v>-1148000</v>
      </c>
      <c r="M598" s="17">
        <v>-1148000</v>
      </c>
      <c r="N598" s="18">
        <v>0</v>
      </c>
      <c r="O598" s="22" t="s">
        <v>426</v>
      </c>
      <c r="Q598" s="13">
        <v>1923</v>
      </c>
      <c r="R598" s="23" t="s">
        <v>386</v>
      </c>
      <c r="S598" s="13" t="s">
        <v>427</v>
      </c>
      <c r="T598" s="13" t="s">
        <v>16</v>
      </c>
      <c r="U598" s="26">
        <v>0</v>
      </c>
    </row>
    <row r="599" spans="1:21" x14ac:dyDescent="0.3">
      <c r="A599" s="13">
        <v>300</v>
      </c>
      <c r="B599" s="13" t="str">
        <f>+VLOOKUP(A599,'[1]PA 2023'!$A$8:$E$84,5)</f>
        <v>Mantener el 100% de los programas que desarrolla la Administración Central.</v>
      </c>
      <c r="C599" s="14">
        <v>2023680010016</v>
      </c>
      <c r="D599" s="14" t="str">
        <f>+VLOOKUP(C599,'[1]PA 2023'!$G$8:$H$84,2,FALSE)</f>
        <v>APOYO A LA GESTIÓN ADMINISTRATIVA Y PROCESOS TRANSVERSALES DE LA SECRETARIA DE DESARROLLO SOCIAL DEL MUNICIPIO DE BUCARAMANGA</v>
      </c>
      <c r="E599" s="13" t="s">
        <v>1420</v>
      </c>
      <c r="F599" s="15">
        <v>2240</v>
      </c>
      <c r="G599" s="21" t="s">
        <v>43</v>
      </c>
      <c r="H599" s="21" t="s">
        <v>36</v>
      </c>
      <c r="I599" s="13" t="s">
        <v>120</v>
      </c>
      <c r="J599" s="13" t="s">
        <v>1388</v>
      </c>
      <c r="K599" s="16">
        <v>45084</v>
      </c>
      <c r="L599" s="17">
        <v>21000000</v>
      </c>
      <c r="M599" s="17">
        <v>21000000</v>
      </c>
      <c r="N599" s="18">
        <f>2800000+3500000+3500000</f>
        <v>9800000</v>
      </c>
      <c r="O599" s="22" t="s">
        <v>1421</v>
      </c>
      <c r="Q599" s="13">
        <v>6296</v>
      </c>
      <c r="R599" s="13" t="s">
        <v>1390</v>
      </c>
      <c r="S599" s="13" t="s">
        <v>122</v>
      </c>
      <c r="T599" s="13" t="s">
        <v>16</v>
      </c>
      <c r="U599" s="17">
        <f t="shared" ref="U599:U644" si="22">+M599-N599</f>
        <v>11200000</v>
      </c>
    </row>
    <row r="600" spans="1:21" x14ac:dyDescent="0.3">
      <c r="A600" s="13">
        <v>300</v>
      </c>
      <c r="B600" s="13" t="str">
        <f>+VLOOKUP(A600,'[1]PA 2023'!$A$8:$E$84,5)</f>
        <v>Mantener el 100% de los programas que desarrolla la Administración Central.</v>
      </c>
      <c r="C600" s="14">
        <v>2023680010016</v>
      </c>
      <c r="D600" s="14" t="str">
        <f>+VLOOKUP(C600,'[1]PA 2023'!$G$8:$H$84,2,FALSE)</f>
        <v>APOYO A LA GESTIÓN ADMINISTRATIVA Y PROCESOS TRANSVERSALES DE LA SECRETARIA DE DESARROLLO SOCIAL DEL MUNICIPIO DE BUCARAMANGA</v>
      </c>
      <c r="E600" s="13" t="s">
        <v>1422</v>
      </c>
      <c r="F600" s="15">
        <v>2241</v>
      </c>
      <c r="G600" s="21" t="s">
        <v>43</v>
      </c>
      <c r="H600" s="21" t="s">
        <v>36</v>
      </c>
      <c r="I600" s="13" t="s">
        <v>60</v>
      </c>
      <c r="J600" s="13" t="s">
        <v>1414</v>
      </c>
      <c r="K600" s="16">
        <v>45084</v>
      </c>
      <c r="L600" s="17">
        <v>25800000</v>
      </c>
      <c r="M600" s="17">
        <v>25800000</v>
      </c>
      <c r="N600" s="18">
        <f>3440000+4300000+4300000</f>
        <v>12040000</v>
      </c>
      <c r="O600" s="22" t="s">
        <v>1423</v>
      </c>
      <c r="Q600" s="13">
        <v>6297</v>
      </c>
      <c r="R600" s="13" t="s">
        <v>1416</v>
      </c>
      <c r="S600" s="13" t="s">
        <v>64</v>
      </c>
      <c r="T600" s="13" t="s">
        <v>16</v>
      </c>
      <c r="U600" s="17">
        <f t="shared" si="22"/>
        <v>13760000</v>
      </c>
    </row>
    <row r="601" spans="1:21" x14ac:dyDescent="0.3">
      <c r="A601" s="13">
        <v>300</v>
      </c>
      <c r="B601" s="13" t="str">
        <f>+VLOOKUP(A601,'[1]PA 2023'!$A$8:$E$84,5)</f>
        <v>Mantener el 100% de los programas que desarrolla la Administración Central.</v>
      </c>
      <c r="C601" s="14">
        <v>2023680010016</v>
      </c>
      <c r="D601" s="14" t="str">
        <f>+VLOOKUP(C601,'[1]PA 2023'!$G$8:$H$84,2,FALSE)</f>
        <v>APOYO A LA GESTIÓN ADMINISTRATIVA Y PROCESOS TRANSVERSALES DE LA SECRETARIA DE DESARROLLO SOCIAL DEL MUNICIPIO DE BUCARAMANGA</v>
      </c>
      <c r="E601" s="13" t="s">
        <v>1424</v>
      </c>
      <c r="F601" s="15">
        <v>2238</v>
      </c>
      <c r="G601" s="21" t="s">
        <v>43</v>
      </c>
      <c r="H601" s="21" t="s">
        <v>36</v>
      </c>
      <c r="I601" s="13" t="s">
        <v>1425</v>
      </c>
      <c r="J601" s="13" t="s">
        <v>1388</v>
      </c>
      <c r="K601" s="16">
        <v>45084</v>
      </c>
      <c r="L601" s="17">
        <v>33000000</v>
      </c>
      <c r="M601" s="17">
        <v>33000000</v>
      </c>
      <c r="N601" s="18">
        <f>4400000+5500000+5500000</f>
        <v>15400000</v>
      </c>
      <c r="O601" s="22" t="s">
        <v>1426</v>
      </c>
      <c r="Q601" s="13">
        <v>6298</v>
      </c>
      <c r="R601" s="13" t="s">
        <v>1390</v>
      </c>
      <c r="S601" s="13" t="s">
        <v>648</v>
      </c>
      <c r="T601" s="13" t="s">
        <v>16</v>
      </c>
      <c r="U601" s="17">
        <f t="shared" si="22"/>
        <v>17600000</v>
      </c>
    </row>
    <row r="602" spans="1:21" x14ac:dyDescent="0.3">
      <c r="A602" s="13">
        <v>300</v>
      </c>
      <c r="B602" s="13" t="str">
        <f>+VLOOKUP(A602,'[1]PA 2023'!$A$8:$E$84,5)</f>
        <v>Mantener el 100% de los programas que desarrolla la Administración Central.</v>
      </c>
      <c r="C602" s="14">
        <v>2023680010016</v>
      </c>
      <c r="D602" s="14" t="str">
        <f>+VLOOKUP(C602,'[1]PA 2023'!$G$8:$H$84,2,FALSE)</f>
        <v>APOYO A LA GESTIÓN ADMINISTRATIVA Y PROCESOS TRANSVERSALES DE LA SECRETARIA DE DESARROLLO SOCIAL DEL MUNICIPIO DE BUCARAMANGA</v>
      </c>
      <c r="E602" s="13" t="s">
        <v>1427</v>
      </c>
      <c r="F602" s="15">
        <v>2236</v>
      </c>
      <c r="G602" s="22" t="s">
        <v>43</v>
      </c>
      <c r="H602" s="21" t="s">
        <v>36</v>
      </c>
      <c r="I602" s="13" t="s">
        <v>112</v>
      </c>
      <c r="J602" s="13" t="s">
        <v>1388</v>
      </c>
      <c r="K602" s="16">
        <v>45084</v>
      </c>
      <c r="L602" s="17">
        <v>18000000</v>
      </c>
      <c r="M602" s="17">
        <v>18000000</v>
      </c>
      <c r="N602" s="18">
        <f>2400000+3000000+3000000</f>
        <v>8400000</v>
      </c>
      <c r="O602" s="22" t="s">
        <v>1428</v>
      </c>
      <c r="Q602" s="13">
        <v>6299</v>
      </c>
      <c r="R602" s="13" t="s">
        <v>1390</v>
      </c>
      <c r="S602" s="13" t="s">
        <v>114</v>
      </c>
      <c r="T602" s="13" t="s">
        <v>16</v>
      </c>
      <c r="U602" s="17">
        <f t="shared" si="22"/>
        <v>9600000</v>
      </c>
    </row>
    <row r="603" spans="1:21" x14ac:dyDescent="0.3">
      <c r="A603" s="13">
        <v>300</v>
      </c>
      <c r="B603" s="13" t="str">
        <f>+VLOOKUP(A603,'[1]PA 2023'!$A$8:$E$84,5)</f>
        <v>Mantener el 100% de los programas que desarrolla la Administración Central.</v>
      </c>
      <c r="C603" s="14">
        <v>2023680010016</v>
      </c>
      <c r="D603" s="14" t="str">
        <f>+VLOOKUP(C603,'[1]PA 2023'!$G$8:$H$84,2,FALSE)</f>
        <v>APOYO A LA GESTIÓN ADMINISTRATIVA Y PROCESOS TRANSVERSALES DE LA SECRETARIA DE DESARROLLO SOCIAL DEL MUNICIPIO DE BUCARAMANGA</v>
      </c>
      <c r="E603" s="13" t="s">
        <v>1429</v>
      </c>
      <c r="F603" s="15">
        <v>2245</v>
      </c>
      <c r="G603" s="21" t="s">
        <v>43</v>
      </c>
      <c r="H603" s="21" t="s">
        <v>36</v>
      </c>
      <c r="I603" s="13" t="s">
        <v>173</v>
      </c>
      <c r="J603" s="13" t="s">
        <v>1388</v>
      </c>
      <c r="K603" s="16">
        <v>45084</v>
      </c>
      <c r="L603" s="17">
        <v>30000000</v>
      </c>
      <c r="M603" s="17">
        <v>30000000</v>
      </c>
      <c r="N603" s="18">
        <f>4000000+5000000+5000000</f>
        <v>14000000</v>
      </c>
      <c r="O603" s="22" t="s">
        <v>1430</v>
      </c>
      <c r="Q603" s="13">
        <v>6300</v>
      </c>
      <c r="R603" s="13" t="s">
        <v>1390</v>
      </c>
      <c r="S603" s="13" t="s">
        <v>175</v>
      </c>
      <c r="T603" s="13" t="s">
        <v>16</v>
      </c>
      <c r="U603" s="17">
        <f t="shared" si="22"/>
        <v>16000000</v>
      </c>
    </row>
    <row r="604" spans="1:21" x14ac:dyDescent="0.3">
      <c r="A604" s="13">
        <v>300</v>
      </c>
      <c r="B604" s="13" t="str">
        <f>+VLOOKUP(A604,'[1]PA 2023'!$A$8:$E$84,5)</f>
        <v>Mantener el 100% de los programas que desarrolla la Administración Central.</v>
      </c>
      <c r="C604" s="14">
        <v>2023680010016</v>
      </c>
      <c r="D604" s="14" t="str">
        <f>+VLOOKUP(C604,'[1]PA 2023'!$G$8:$H$84,2,FALSE)</f>
        <v>APOYO A LA GESTIÓN ADMINISTRATIVA Y PROCESOS TRANSVERSALES DE LA SECRETARIA DE DESARROLLO SOCIAL DEL MUNICIPIO DE BUCARAMANGA</v>
      </c>
      <c r="E604" s="13" t="s">
        <v>609</v>
      </c>
      <c r="F604" s="15">
        <v>2275</v>
      </c>
      <c r="G604" s="21" t="s">
        <v>43</v>
      </c>
      <c r="H604" s="21" t="s">
        <v>36</v>
      </c>
      <c r="I604" s="13" t="s">
        <v>610</v>
      </c>
      <c r="J604" s="13" t="s">
        <v>1388</v>
      </c>
      <c r="K604" s="16">
        <v>45085</v>
      </c>
      <c r="L604" s="17">
        <v>27000000</v>
      </c>
      <c r="M604" s="17">
        <v>27000000</v>
      </c>
      <c r="N604" s="18">
        <f>3450000+4500000+4500000</f>
        <v>12450000</v>
      </c>
      <c r="O604" s="22" t="s">
        <v>1431</v>
      </c>
      <c r="Q604" s="13">
        <v>6341</v>
      </c>
      <c r="R604" s="13" t="s">
        <v>1390</v>
      </c>
      <c r="S604" s="13" t="s">
        <v>612</v>
      </c>
      <c r="T604" s="13" t="s">
        <v>16</v>
      </c>
      <c r="U604" s="17">
        <f t="shared" si="22"/>
        <v>14550000</v>
      </c>
    </row>
    <row r="605" spans="1:21" x14ac:dyDescent="0.3">
      <c r="A605" s="13">
        <v>300</v>
      </c>
      <c r="B605" s="13" t="str">
        <f>+VLOOKUP(A605,'[1]PA 2023'!$A$8:$E$84,5)</f>
        <v>Mantener el 100% de los programas que desarrolla la Administración Central.</v>
      </c>
      <c r="C605" s="14">
        <v>2023680010016</v>
      </c>
      <c r="D605" s="14" t="str">
        <f>+VLOOKUP(C605,'[1]PA 2023'!$G$8:$H$84,2,FALSE)</f>
        <v>APOYO A LA GESTIÓN ADMINISTRATIVA Y PROCESOS TRANSVERSALES DE LA SECRETARIA DE DESARROLLO SOCIAL DEL MUNICIPIO DE BUCARAMANGA</v>
      </c>
      <c r="E605" s="13" t="s">
        <v>1422</v>
      </c>
      <c r="F605" s="15">
        <v>2274</v>
      </c>
      <c r="G605" s="21" t="s">
        <v>43</v>
      </c>
      <c r="H605" s="21" t="s">
        <v>36</v>
      </c>
      <c r="I605" s="13" t="s">
        <v>116</v>
      </c>
      <c r="J605" s="13" t="s">
        <v>1414</v>
      </c>
      <c r="K605" s="16">
        <v>45085</v>
      </c>
      <c r="L605" s="17">
        <v>21000000</v>
      </c>
      <c r="M605" s="17">
        <v>21000000</v>
      </c>
      <c r="N605" s="18">
        <f>2683333.33+3500000+3500000</f>
        <v>9683333.3300000001</v>
      </c>
      <c r="O605" s="22" t="s">
        <v>1432</v>
      </c>
      <c r="Q605" s="13">
        <v>6342</v>
      </c>
      <c r="R605" s="13" t="s">
        <v>1416</v>
      </c>
      <c r="S605" s="13" t="s">
        <v>118</v>
      </c>
      <c r="T605" s="13" t="s">
        <v>16</v>
      </c>
      <c r="U605" s="17">
        <f t="shared" si="22"/>
        <v>11316666.67</v>
      </c>
    </row>
    <row r="606" spans="1:21" x14ac:dyDescent="0.3">
      <c r="A606" s="13">
        <v>300</v>
      </c>
      <c r="B606" s="13" t="str">
        <f>+VLOOKUP(A606,'[1]PA 2023'!$A$8:$E$84,5)</f>
        <v>Mantener el 100% de los programas que desarrolla la Administración Central.</v>
      </c>
      <c r="C606" s="14">
        <v>2023680010016</v>
      </c>
      <c r="D606" s="14" t="str">
        <f>+VLOOKUP(C606,'[1]PA 2023'!$G$8:$H$84,2,FALSE)</f>
        <v>APOYO A LA GESTIÓN ADMINISTRATIVA Y PROCESOS TRANSVERSALES DE LA SECRETARIA DE DESARROLLO SOCIAL DEL MUNICIPIO DE BUCARAMANGA</v>
      </c>
      <c r="E606" s="13" t="s">
        <v>1433</v>
      </c>
      <c r="F606" s="15">
        <v>2279</v>
      </c>
      <c r="G606" s="21" t="s">
        <v>43</v>
      </c>
      <c r="H606" s="21" t="s">
        <v>36</v>
      </c>
      <c r="I606" s="13" t="s">
        <v>224</v>
      </c>
      <c r="J606" s="13" t="s">
        <v>1388</v>
      </c>
      <c r="K606" s="16">
        <v>45085</v>
      </c>
      <c r="L606" s="17">
        <v>24000000</v>
      </c>
      <c r="M606" s="17">
        <v>24000000</v>
      </c>
      <c r="N606" s="18">
        <f>2933333.33+4000000+4000000</f>
        <v>10933333.33</v>
      </c>
      <c r="O606" s="22" t="s">
        <v>1434</v>
      </c>
      <c r="Q606" s="13">
        <v>6343</v>
      </c>
      <c r="R606" s="13" t="s">
        <v>1390</v>
      </c>
      <c r="S606" s="13" t="s">
        <v>226</v>
      </c>
      <c r="T606" s="13" t="s">
        <v>16</v>
      </c>
      <c r="U606" s="17">
        <f t="shared" si="22"/>
        <v>13066666.67</v>
      </c>
    </row>
    <row r="607" spans="1:21" x14ac:dyDescent="0.3">
      <c r="A607" s="13">
        <v>300</v>
      </c>
      <c r="B607" s="13" t="str">
        <f>+VLOOKUP(A607,'[1]PA 2023'!$A$8:$E$84,5)</f>
        <v>Mantener el 100% de los programas que desarrolla la Administración Central.</v>
      </c>
      <c r="C607" s="14">
        <v>2023680010016</v>
      </c>
      <c r="D607" s="14" t="str">
        <f>+VLOOKUP(C607,'[1]PA 2023'!$G$8:$H$84,2,FALSE)</f>
        <v>APOYO A LA GESTIÓN ADMINISTRATIVA Y PROCESOS TRANSVERSALES DE LA SECRETARIA DE DESARROLLO SOCIAL DEL MUNICIPIO DE BUCARAMANGA</v>
      </c>
      <c r="E607" s="13" t="s">
        <v>1435</v>
      </c>
      <c r="F607" s="15">
        <v>2263</v>
      </c>
      <c r="G607" s="21" t="s">
        <v>43</v>
      </c>
      <c r="H607" s="21" t="s">
        <v>36</v>
      </c>
      <c r="I607" s="13" t="s">
        <v>85</v>
      </c>
      <c r="J607" s="13" t="s">
        <v>1388</v>
      </c>
      <c r="K607" s="16">
        <v>45085</v>
      </c>
      <c r="L607" s="17">
        <v>24000000</v>
      </c>
      <c r="M607" s="17">
        <v>24000000</v>
      </c>
      <c r="N607" s="18">
        <f>3066666.67+4000000+4000000</f>
        <v>11066666.67</v>
      </c>
      <c r="O607" s="22" t="s">
        <v>1436</v>
      </c>
      <c r="Q607" s="13">
        <v>6351</v>
      </c>
      <c r="R607" s="13" t="s">
        <v>1390</v>
      </c>
      <c r="S607" s="13" t="s">
        <v>87</v>
      </c>
      <c r="T607" s="13" t="s">
        <v>16</v>
      </c>
      <c r="U607" s="17">
        <f t="shared" si="22"/>
        <v>12933333.33</v>
      </c>
    </row>
    <row r="608" spans="1:21" x14ac:dyDescent="0.3">
      <c r="A608" s="13">
        <v>98</v>
      </c>
      <c r="B608" s="13" t="str">
        <f>+VLOOKUP(A608,'[1]PA 2023'!$A$8:$E$84,5)</f>
        <v>Mantener el 100% del apoyo logístico a las familias beneficiadas del programa Familias en Acción.</v>
      </c>
      <c r="C608" s="14">
        <v>2020680010072</v>
      </c>
      <c r="D608" s="14" t="str">
        <f>+VLOOKUP(C608,'[1]PA 2023'!$G$8:$H$84,2,FALSE)</f>
        <v>APOYO A LA OPERATIVIDAD DEL PROGRAMA NACIONAL MÁS FAMILIAS EN ACCIÓN EN EL MUNICIPIO DE BUCARAMANGA</v>
      </c>
      <c r="E608" s="13" t="s">
        <v>1437</v>
      </c>
      <c r="F608" s="15">
        <v>2298</v>
      </c>
      <c r="G608" s="21" t="s">
        <v>43</v>
      </c>
      <c r="H608" s="21" t="s">
        <v>36</v>
      </c>
      <c r="I608" s="13" t="s">
        <v>550</v>
      </c>
      <c r="J608" s="13" t="s">
        <v>472</v>
      </c>
      <c r="K608" s="16">
        <v>45086</v>
      </c>
      <c r="L608" s="17">
        <v>22800000</v>
      </c>
      <c r="M608" s="17">
        <v>22800000</v>
      </c>
      <c r="N608" s="18">
        <f>2786666.67+3800000+3800000</f>
        <v>10386666.67</v>
      </c>
      <c r="O608" s="22" t="s">
        <v>1438</v>
      </c>
      <c r="Q608" s="13">
        <v>6395</v>
      </c>
      <c r="R608" s="13" t="s">
        <v>473</v>
      </c>
      <c r="S608" s="13" t="s">
        <v>552</v>
      </c>
      <c r="T608" s="13" t="s">
        <v>16</v>
      </c>
      <c r="U608" s="17">
        <f t="shared" si="22"/>
        <v>12413333.33</v>
      </c>
    </row>
    <row r="609" spans="1:21" x14ac:dyDescent="0.3">
      <c r="A609" s="13">
        <v>300</v>
      </c>
      <c r="B609" s="13" t="str">
        <f>+VLOOKUP(A609,'[1]PA 2023'!$A$8:$E$84,5)</f>
        <v>Mantener el 100% de los programas que desarrolla la Administración Central.</v>
      </c>
      <c r="C609" s="14">
        <v>2023680010016</v>
      </c>
      <c r="D609" s="14" t="str">
        <f>+VLOOKUP(C609,'[1]PA 2023'!$G$8:$H$84,2,FALSE)</f>
        <v>APOYO A LA GESTIÓN ADMINISTRATIVA Y PROCESOS TRANSVERSALES DE LA SECRETARIA DE DESARROLLO SOCIAL DEL MUNICIPIO DE BUCARAMANGA</v>
      </c>
      <c r="E609" s="13" t="s">
        <v>1439</v>
      </c>
      <c r="F609" s="15">
        <v>2304</v>
      </c>
      <c r="G609" s="21" t="s">
        <v>43</v>
      </c>
      <c r="H609" s="21" t="s">
        <v>36</v>
      </c>
      <c r="I609" s="13" t="s">
        <v>689</v>
      </c>
      <c r="J609" s="13" t="s">
        <v>1388</v>
      </c>
      <c r="K609" s="16">
        <v>45086</v>
      </c>
      <c r="L609" s="17">
        <v>24000000</v>
      </c>
      <c r="M609" s="17">
        <v>24000000</v>
      </c>
      <c r="N609" s="18">
        <f>2933333.33+4000000+4000000</f>
        <v>10933333.33</v>
      </c>
      <c r="O609" s="22" t="s">
        <v>1440</v>
      </c>
      <c r="Q609" s="13">
        <v>6408</v>
      </c>
      <c r="R609" s="13" t="s">
        <v>1390</v>
      </c>
      <c r="S609" s="13" t="s">
        <v>691</v>
      </c>
      <c r="T609" s="13" t="s">
        <v>16</v>
      </c>
      <c r="U609" s="17">
        <f t="shared" si="22"/>
        <v>13066666.67</v>
      </c>
    </row>
    <row r="610" spans="1:21" x14ac:dyDescent="0.3">
      <c r="A610" s="13">
        <v>300</v>
      </c>
      <c r="B610" s="13" t="str">
        <f>+VLOOKUP(A610,'[1]PA 2023'!$A$8:$E$84,5)</f>
        <v>Mantener el 100% de los programas que desarrolla la Administración Central.</v>
      </c>
      <c r="C610" s="14">
        <v>2023680010016</v>
      </c>
      <c r="D610" s="14" t="str">
        <f>+VLOOKUP(C610,'[1]PA 2023'!$G$8:$H$84,2,FALSE)</f>
        <v>APOYO A LA GESTIÓN ADMINISTRATIVA Y PROCESOS TRANSVERSALES DE LA SECRETARIA DE DESARROLLO SOCIAL DEL MUNICIPIO DE BUCARAMANGA</v>
      </c>
      <c r="E610" s="13" t="s">
        <v>1441</v>
      </c>
      <c r="F610" s="15">
        <v>2305</v>
      </c>
      <c r="G610" s="21" t="s">
        <v>43</v>
      </c>
      <c r="H610" s="21" t="s">
        <v>36</v>
      </c>
      <c r="I610" s="13" t="s">
        <v>100</v>
      </c>
      <c r="J610" s="13" t="s">
        <v>1414</v>
      </c>
      <c r="K610" s="16">
        <v>45086</v>
      </c>
      <c r="L610" s="17">
        <v>33000000</v>
      </c>
      <c r="M610" s="17">
        <v>33000000</v>
      </c>
      <c r="N610" s="18">
        <f>4033333.33+5500000+5500000</f>
        <v>15033333.33</v>
      </c>
      <c r="O610" s="22" t="s">
        <v>1442</v>
      </c>
      <c r="Q610" s="13">
        <v>6409</v>
      </c>
      <c r="R610" s="13" t="s">
        <v>1416</v>
      </c>
      <c r="S610" s="13" t="s">
        <v>102</v>
      </c>
      <c r="T610" s="13" t="s">
        <v>16</v>
      </c>
      <c r="U610" s="17">
        <f t="shared" si="22"/>
        <v>17966666.670000002</v>
      </c>
    </row>
    <row r="611" spans="1:21" x14ac:dyDescent="0.3">
      <c r="A611" s="13">
        <v>300</v>
      </c>
      <c r="B611" s="13" t="str">
        <f>+VLOOKUP(A611,'[1]PA 2023'!$A$8:$E$84,5)</f>
        <v>Mantener el 100% de los programas que desarrolla la Administración Central.</v>
      </c>
      <c r="C611" s="14">
        <v>2023680010016</v>
      </c>
      <c r="D611" s="14" t="str">
        <f>+VLOOKUP(C611,'[1]PA 2023'!$G$8:$H$84,2,FALSE)</f>
        <v>APOYO A LA GESTIÓN ADMINISTRATIVA Y PROCESOS TRANSVERSALES DE LA SECRETARIA DE DESARROLLO SOCIAL DEL MUNICIPIO DE BUCARAMANGA</v>
      </c>
      <c r="E611" s="13" t="s">
        <v>1443</v>
      </c>
      <c r="F611" s="15">
        <v>2303</v>
      </c>
      <c r="G611" s="21" t="s">
        <v>43</v>
      </c>
      <c r="H611" s="21" t="s">
        <v>36</v>
      </c>
      <c r="I611" s="13" t="s">
        <v>351</v>
      </c>
      <c r="J611" s="13" t="s">
        <v>1388</v>
      </c>
      <c r="K611" s="16">
        <v>45086</v>
      </c>
      <c r="L611" s="17">
        <v>42000000</v>
      </c>
      <c r="M611" s="17">
        <v>42000000</v>
      </c>
      <c r="N611" s="18">
        <f>5133333.33+7000000+7000000</f>
        <v>19133333.329999998</v>
      </c>
      <c r="O611" s="22" t="s">
        <v>1444</v>
      </c>
      <c r="Q611" s="13">
        <v>6410</v>
      </c>
      <c r="R611" s="13" t="s">
        <v>1390</v>
      </c>
      <c r="S611" s="13" t="s">
        <v>353</v>
      </c>
      <c r="T611" s="13" t="s">
        <v>16</v>
      </c>
      <c r="U611" s="17">
        <f t="shared" si="22"/>
        <v>22866666.670000002</v>
      </c>
    </row>
    <row r="612" spans="1:21" x14ac:dyDescent="0.3">
      <c r="A612" s="13">
        <v>300</v>
      </c>
      <c r="B612" s="13" t="str">
        <f>+VLOOKUP(A612,'[1]PA 2023'!$A$8:$E$84,5)</f>
        <v>Mantener el 100% de los programas que desarrolla la Administración Central.</v>
      </c>
      <c r="C612" s="14">
        <v>2023680010016</v>
      </c>
      <c r="D612" s="14" t="str">
        <f>+VLOOKUP(C612,'[1]PA 2023'!$G$8:$H$84,2,FALSE)</f>
        <v>APOYO A LA GESTIÓN ADMINISTRATIVA Y PROCESOS TRANSVERSALES DE LA SECRETARIA DE DESARROLLO SOCIAL DEL MUNICIPIO DE BUCARAMANGA</v>
      </c>
      <c r="E612" s="13" t="s">
        <v>1445</v>
      </c>
      <c r="F612" s="15">
        <v>2311</v>
      </c>
      <c r="G612" s="21" t="s">
        <v>35</v>
      </c>
      <c r="H612" s="21" t="s">
        <v>36</v>
      </c>
      <c r="I612" s="13" t="s">
        <v>359</v>
      </c>
      <c r="J612" s="13" t="s">
        <v>1388</v>
      </c>
      <c r="K612" s="16">
        <v>45086</v>
      </c>
      <c r="L612" s="17">
        <v>13200000</v>
      </c>
      <c r="M612" s="17">
        <v>13200000</v>
      </c>
      <c r="N612" s="18">
        <f>1613333.33+2200000+2200000</f>
        <v>6013333.3300000001</v>
      </c>
      <c r="O612" s="22" t="s">
        <v>1446</v>
      </c>
      <c r="Q612" s="13">
        <v>6419</v>
      </c>
      <c r="R612" s="13" t="s">
        <v>1390</v>
      </c>
      <c r="S612" s="13" t="s">
        <v>361</v>
      </c>
      <c r="T612" s="13" t="s">
        <v>16</v>
      </c>
      <c r="U612" s="17">
        <f t="shared" si="22"/>
        <v>7186666.6699999999</v>
      </c>
    </row>
    <row r="613" spans="1:21" x14ac:dyDescent="0.3">
      <c r="A613" s="13">
        <v>300</v>
      </c>
      <c r="B613" s="13" t="str">
        <f>+VLOOKUP(A613,'[1]PA 2023'!$A$8:$E$84,5)</f>
        <v>Mantener el 100% de los programas que desarrolla la Administración Central.</v>
      </c>
      <c r="C613" s="14">
        <v>2023680010016</v>
      </c>
      <c r="D613" s="14" t="str">
        <f>+VLOOKUP(C613,'[1]PA 2023'!$G$8:$H$84,2,FALSE)</f>
        <v>APOYO A LA GESTIÓN ADMINISTRATIVA Y PROCESOS TRANSVERSALES DE LA SECRETARIA DE DESARROLLO SOCIAL DEL MUNICIPIO DE BUCARAMANGA</v>
      </c>
      <c r="E613" s="13" t="s">
        <v>1447</v>
      </c>
      <c r="F613" s="15">
        <v>2293</v>
      </c>
      <c r="G613" s="21" t="s">
        <v>43</v>
      </c>
      <c r="H613" s="21" t="s">
        <v>36</v>
      </c>
      <c r="I613" s="13" t="s">
        <v>124</v>
      </c>
      <c r="J613" s="13" t="s">
        <v>1388</v>
      </c>
      <c r="K613" s="16">
        <v>45086</v>
      </c>
      <c r="L613" s="17">
        <v>18000000</v>
      </c>
      <c r="M613" s="17">
        <v>18000000</v>
      </c>
      <c r="N613" s="18">
        <f>2200000+3000000+3000000</f>
        <v>8200000</v>
      </c>
      <c r="O613" s="22" t="s">
        <v>1448</v>
      </c>
      <c r="Q613" s="13">
        <v>6420</v>
      </c>
      <c r="R613" s="13" t="s">
        <v>1390</v>
      </c>
      <c r="S613" s="13" t="s">
        <v>126</v>
      </c>
      <c r="T613" s="13" t="s">
        <v>16</v>
      </c>
      <c r="U613" s="17">
        <f t="shared" si="22"/>
        <v>9800000</v>
      </c>
    </row>
    <row r="614" spans="1:21" x14ac:dyDescent="0.3">
      <c r="A614" s="13">
        <v>300</v>
      </c>
      <c r="B614" s="13" t="str">
        <f>+VLOOKUP(A614,'[1]PA 2023'!$A$8:$E$84,5)</f>
        <v>Mantener el 100% de los programas que desarrolla la Administración Central.</v>
      </c>
      <c r="C614" s="14">
        <v>2023680010016</v>
      </c>
      <c r="D614" s="14" t="str">
        <f>+VLOOKUP(C614,'[1]PA 2023'!$G$8:$H$84,2,FALSE)</f>
        <v>APOYO A LA GESTIÓN ADMINISTRATIVA Y PROCESOS TRANSVERSALES DE LA SECRETARIA DE DESARROLLO SOCIAL DEL MUNICIPIO DE BUCARAMANGA</v>
      </c>
      <c r="E614" s="13" t="s">
        <v>1449</v>
      </c>
      <c r="F614" s="15">
        <v>2357</v>
      </c>
      <c r="G614" s="21" t="s">
        <v>43</v>
      </c>
      <c r="H614" s="21" t="s">
        <v>36</v>
      </c>
      <c r="I614" s="13" t="s">
        <v>196</v>
      </c>
      <c r="J614" s="13" t="s">
        <v>1388</v>
      </c>
      <c r="K614" s="16">
        <v>45086</v>
      </c>
      <c r="L614" s="17">
        <v>33000000</v>
      </c>
      <c r="M614" s="17">
        <v>33000000</v>
      </c>
      <c r="N614" s="18">
        <f>3850000+5500000+5500000</f>
        <v>14850000</v>
      </c>
      <c r="O614" s="22" t="s">
        <v>1450</v>
      </c>
      <c r="Q614" s="13">
        <v>6435</v>
      </c>
      <c r="R614" s="13" t="s">
        <v>1390</v>
      </c>
      <c r="S614" s="13" t="s">
        <v>198</v>
      </c>
      <c r="T614" s="13" t="s">
        <v>16</v>
      </c>
      <c r="U614" s="17">
        <f t="shared" si="22"/>
        <v>18150000</v>
      </c>
    </row>
    <row r="615" spans="1:21" x14ac:dyDescent="0.3">
      <c r="A615" s="13">
        <v>204</v>
      </c>
      <c r="B615" s="13" t="str">
        <f>+VLOOKUP(A615,'[1]PA 2023'!$A$8:$E$84,5)</f>
        <v>Realizar 12 proyectos productivos agrícolas o pecuarios.</v>
      </c>
      <c r="C615" s="14">
        <v>2020680010123</v>
      </c>
      <c r="D615" s="14" t="str">
        <f>+VLOOKUP(C615,'[1]PA 2023'!$G$8:$H$84,2,FALSE)</f>
        <v>FORTALECIMIENTO DE LA PRODUCTIVIDAD Y COMPETITIVIDAD AGROPECUARIA EN EL SECTOR RURAL DEL MUNICIPIO DE BUCARAMANGA</v>
      </c>
      <c r="E615" s="13" t="s">
        <v>1451</v>
      </c>
      <c r="F615" s="15">
        <v>126</v>
      </c>
      <c r="G615" s="22" t="s">
        <v>1180</v>
      </c>
      <c r="H615" s="21" t="s">
        <v>1187</v>
      </c>
      <c r="I615" s="13" t="s">
        <v>1373</v>
      </c>
      <c r="J615" s="13" t="s">
        <v>1452</v>
      </c>
      <c r="K615" s="16">
        <v>45086</v>
      </c>
      <c r="L615" s="17">
        <v>214832600</v>
      </c>
      <c r="M615" s="17">
        <v>214832600</v>
      </c>
      <c r="N615" s="18">
        <v>0</v>
      </c>
      <c r="O615" s="22" t="s">
        <v>1453</v>
      </c>
      <c r="Q615" s="13">
        <v>6436</v>
      </c>
      <c r="R615" s="13" t="s">
        <v>1454</v>
      </c>
      <c r="S615" s="13" t="s">
        <v>1375</v>
      </c>
      <c r="T615" s="13" t="s">
        <v>16</v>
      </c>
      <c r="U615" s="17">
        <f t="shared" si="22"/>
        <v>214832600</v>
      </c>
    </row>
    <row r="616" spans="1:21" x14ac:dyDescent="0.3">
      <c r="A616" s="13">
        <v>106</v>
      </c>
      <c r="B616" s="13" t="str">
        <f>+VLOOKUP(A616,'[1]PA 2023'!$A$8:$E$84,5)</f>
        <v>Actualizar e implementar la Política Pública de Mujer.</v>
      </c>
      <c r="C616" s="14">
        <v>2020680010106</v>
      </c>
      <c r="D616" s="14" t="str">
        <f>+VLOOKUP(C616,'[1]PA 2023'!$G$8:$H$84,2,FALSE)</f>
        <v>FORTALECIMIENTO DE ESPACIOS DE PARTICIPACIÓN Y PREVENCIÓN DE VIOLENCIAS EN MUJERES Y POBLACIÓN CON ORIENTACIONES SEXUALES E IDENTIDADES DE GÉNERO DIVERSAS DEL MUNICIPIO DE BUCARAMANGA</v>
      </c>
      <c r="E616" s="13" t="s">
        <v>1455</v>
      </c>
      <c r="F616" s="15">
        <v>124</v>
      </c>
      <c r="G616" s="22" t="s">
        <v>1180</v>
      </c>
      <c r="H616" s="21" t="s">
        <v>1165</v>
      </c>
      <c r="I616" s="13" t="s">
        <v>1181</v>
      </c>
      <c r="J616" s="13" t="s">
        <v>1456</v>
      </c>
      <c r="K616" s="16">
        <v>45086</v>
      </c>
      <c r="L616" s="17">
        <v>93647100</v>
      </c>
      <c r="M616" s="17">
        <v>93647100</v>
      </c>
      <c r="N616" s="18">
        <v>93647099.980000004</v>
      </c>
      <c r="O616" s="22" t="s">
        <v>1457</v>
      </c>
      <c r="Q616" s="13">
        <v>6437</v>
      </c>
      <c r="R616" s="13" t="s">
        <v>380</v>
      </c>
      <c r="S616" s="13" t="s">
        <v>1184</v>
      </c>
      <c r="T616" s="13" t="s">
        <v>16</v>
      </c>
      <c r="U616" s="17">
        <f t="shared" si="22"/>
        <v>1.9999995827674866E-2</v>
      </c>
    </row>
    <row r="617" spans="1:21" x14ac:dyDescent="0.3">
      <c r="A617" s="13">
        <v>283</v>
      </c>
      <c r="B617" s="13" t="str">
        <f>+VLOOKUP(A617,'[1]PA 2023'!$A$8:$E$84,5)</f>
        <v>Formular e implementar 1 estrategia que fortalezca la democracia participativa (Ley 1757 de 2015).</v>
      </c>
      <c r="C617" s="14">
        <v>2022680010035</v>
      </c>
      <c r="D617" s="14" t="str">
        <f>+VLOOKUP(C617,'[1]PA 2023'!$G$8:$H$84,2,FALSE)</f>
        <v>FORTALECIMIENTO DE LA PARTICIPACIÓN E INCIDENCIA DE LAS EXPRESIONES E INSTITUCIONES DEMOCRÁTICAS JUVENILES DE LA CIUDAD DE BUCARAMANGA</v>
      </c>
      <c r="E617" s="13" t="s">
        <v>1458</v>
      </c>
      <c r="F617" s="15">
        <v>128</v>
      </c>
      <c r="G617" s="22" t="s">
        <v>1114</v>
      </c>
      <c r="H617" s="21" t="s">
        <v>36</v>
      </c>
      <c r="I617" s="13" t="s">
        <v>1459</v>
      </c>
      <c r="J617" s="13" t="s">
        <v>1460</v>
      </c>
      <c r="K617" s="16">
        <v>45086</v>
      </c>
      <c r="L617" s="17">
        <v>109159962</v>
      </c>
      <c r="M617" s="17">
        <v>109159962</v>
      </c>
      <c r="N617" s="18">
        <v>109159962</v>
      </c>
      <c r="O617" s="22" t="s">
        <v>1461</v>
      </c>
      <c r="Q617" s="13">
        <v>6451</v>
      </c>
      <c r="R617" s="23" t="s">
        <v>1462</v>
      </c>
      <c r="S617" s="13" t="s">
        <v>1463</v>
      </c>
      <c r="T617" s="13" t="s">
        <v>16</v>
      </c>
      <c r="U617" s="17">
        <f t="shared" si="22"/>
        <v>0</v>
      </c>
    </row>
    <row r="618" spans="1:21" x14ac:dyDescent="0.3">
      <c r="A618" s="13">
        <v>107</v>
      </c>
      <c r="B618" s="13" t="str">
        <f>+VLOOKUP(A618,'[1]PA 2023'!$A$8:$E$84,5)</f>
        <v>Formular e implementar 1 política pública para la población con orientación sexual e identidad de género diversa.</v>
      </c>
      <c r="C618" s="14">
        <v>2020680010106</v>
      </c>
      <c r="D618" s="14" t="str">
        <f>+VLOOKUP(C618,'[1]PA 2023'!$G$8:$H$84,2,FALSE)</f>
        <v>FORTALECIMIENTO DE ESPACIOS DE PARTICIPACIÓN Y PREVENCIÓN DE VIOLENCIAS EN MUJERES Y POBLACIÓN CON ORIENTACIONES SEXUALES E IDENTIDADES DE GÉNERO DIVERSAS DEL MUNICIPIO DE BUCARAMANGA</v>
      </c>
      <c r="E618" s="13" t="s">
        <v>1458</v>
      </c>
      <c r="F618" s="15">
        <v>128</v>
      </c>
      <c r="G618" s="22" t="s">
        <v>1114</v>
      </c>
      <c r="H618" s="21" t="s">
        <v>36</v>
      </c>
      <c r="I618" s="13" t="s">
        <v>1459</v>
      </c>
      <c r="J618" s="13" t="s">
        <v>1116</v>
      </c>
      <c r="K618" s="16">
        <v>45086</v>
      </c>
      <c r="L618" s="17">
        <v>8259111</v>
      </c>
      <c r="M618" s="17">
        <v>8259111</v>
      </c>
      <c r="N618" s="18">
        <v>8259111</v>
      </c>
      <c r="O618" s="22" t="s">
        <v>1461</v>
      </c>
      <c r="Q618" s="13">
        <v>6451</v>
      </c>
      <c r="R618" s="23" t="s">
        <v>380</v>
      </c>
      <c r="S618" s="13" t="s">
        <v>1463</v>
      </c>
      <c r="T618" s="13" t="s">
        <v>16</v>
      </c>
      <c r="U618" s="17">
        <f t="shared" si="22"/>
        <v>0</v>
      </c>
    </row>
    <row r="619" spans="1:21" x14ac:dyDescent="0.3">
      <c r="A619" s="13">
        <v>107</v>
      </c>
      <c r="B619" s="13" t="str">
        <f>+VLOOKUP(A619,'[1]PA 2023'!$A$8:$E$84,5)</f>
        <v>Formular e implementar 1 política pública para la población con orientación sexual e identidad de género diversa.</v>
      </c>
      <c r="C619" s="14">
        <v>2023680010015</v>
      </c>
      <c r="D619" s="14" t="str">
        <f>+VLOOKUP(C619,'[1]PA 2023'!$G$8:$H$84,2,FALSE)</f>
        <v>FORTALECIMIENTO DE ACCIONES ORIENTADAS AL CIERRE DE BRECHAS DE GÉNERO PARA MUJERES Y POBLACIÓN CON ORIENTACIONES SEXUALES E IDENTIDADES DE GÉNERO DIVERSAS DEL MUNICIPIO DE BUCARAMANGA</v>
      </c>
      <c r="E619" s="13" t="s">
        <v>1458</v>
      </c>
      <c r="F619" s="15">
        <v>128</v>
      </c>
      <c r="G619" s="22" t="s">
        <v>1114</v>
      </c>
      <c r="H619" s="21" t="s">
        <v>36</v>
      </c>
      <c r="I619" s="13" t="s">
        <v>1459</v>
      </c>
      <c r="J619" s="13" t="s">
        <v>1464</v>
      </c>
      <c r="K619" s="16">
        <v>45086</v>
      </c>
      <c r="L619" s="17">
        <v>300000000</v>
      </c>
      <c r="M619" s="17">
        <v>300000000</v>
      </c>
      <c r="N619" s="18">
        <v>300000000</v>
      </c>
      <c r="O619" s="22" t="s">
        <v>1461</v>
      </c>
      <c r="Q619" s="13">
        <v>6451</v>
      </c>
      <c r="R619" s="23" t="s">
        <v>1465</v>
      </c>
      <c r="S619" s="13" t="s">
        <v>1463</v>
      </c>
      <c r="T619" s="13" t="s">
        <v>16</v>
      </c>
      <c r="U619" s="17">
        <f t="shared" si="22"/>
        <v>0</v>
      </c>
    </row>
    <row r="620" spans="1:21" x14ac:dyDescent="0.3">
      <c r="A620" s="13">
        <v>96</v>
      </c>
      <c r="B620" s="13" t="str">
        <f>+VLOOKUP(A620,'[1]PA 2023'!$A$8:$E$84,5)</f>
        <v>Formular e implementar 1 estrategia que promueva la democratización familiar apoyada en el componente de bienestar comunitario del programa Familias en Acción con impacto en barrios priorizados por NBI.</v>
      </c>
      <c r="C620" s="14">
        <v>2020680010072</v>
      </c>
      <c r="D620" s="14" t="str">
        <f>+VLOOKUP(C620,'[1]PA 2023'!$G$8:$H$84,2,FALSE)</f>
        <v>APOYO A LA OPERATIVIDAD DEL PROGRAMA NACIONAL MÁS FAMILIAS EN ACCIÓN EN EL MUNICIPIO DE BUCARAMANGA</v>
      </c>
      <c r="E620" s="13" t="s">
        <v>553</v>
      </c>
      <c r="F620" s="15">
        <v>2376</v>
      </c>
      <c r="G620" s="21" t="s">
        <v>43</v>
      </c>
      <c r="H620" s="21" t="s">
        <v>36</v>
      </c>
      <c r="I620" s="13" t="s">
        <v>554</v>
      </c>
      <c r="J620" s="13" t="s">
        <v>1466</v>
      </c>
      <c r="K620" s="16">
        <v>45086</v>
      </c>
      <c r="L620" s="17">
        <v>22800000</v>
      </c>
      <c r="M620" s="17">
        <v>22800000</v>
      </c>
      <c r="N620" s="18">
        <f>2660000+3800000+3800000</f>
        <v>10260000</v>
      </c>
      <c r="O620" s="22" t="s">
        <v>1467</v>
      </c>
      <c r="Q620" s="13">
        <v>6484</v>
      </c>
      <c r="R620" s="13" t="s">
        <v>1468</v>
      </c>
      <c r="S620" s="13" t="s">
        <v>556</v>
      </c>
      <c r="T620" s="13" t="s">
        <v>16</v>
      </c>
      <c r="U620" s="17">
        <f t="shared" si="22"/>
        <v>12540000</v>
      </c>
    </row>
    <row r="621" spans="1:21" x14ac:dyDescent="0.3">
      <c r="A621" s="13">
        <v>109</v>
      </c>
      <c r="B621" s="13" t="str">
        <f>+VLOOKUP(A621,'[1]PA 2023'!$A$8:$E$84,5)</f>
        <v>Establecer el centro para la atención integral de mujeres y población con orientaciones sexuales e identidades de género diversas a fin de garantizar el fortalecimiento de los procesos de atención, encuentro y empoderamiento.</v>
      </c>
      <c r="C621" s="14">
        <v>2020680010106</v>
      </c>
      <c r="D621" s="14" t="str">
        <f>+VLOOKUP(C621,'[1]PA 2023'!$G$8:$H$84,2,FALSE)</f>
        <v>FORTALECIMIENTO DE ESPACIOS DE PARTICIPACIÓN Y PREVENCIÓN DE VIOLENCIAS EN MUJERES Y POBLACIÓN CON ORIENTACIONES SEXUALES E IDENTIDADES DE GÉNERO DIVERSAS DEL MUNICIPIO DE BUCARAMANGA</v>
      </c>
      <c r="E621" s="13" t="s">
        <v>1469</v>
      </c>
      <c r="F621" s="15">
        <v>2372</v>
      </c>
      <c r="G621" s="21" t="s">
        <v>43</v>
      </c>
      <c r="H621" s="21" t="s">
        <v>36</v>
      </c>
      <c r="I621" s="13" t="s">
        <v>491</v>
      </c>
      <c r="J621" s="13" t="s">
        <v>378</v>
      </c>
      <c r="K621" s="16">
        <v>45086</v>
      </c>
      <c r="L621" s="17">
        <v>17500000</v>
      </c>
      <c r="M621" s="17">
        <v>17500000</v>
      </c>
      <c r="N621" s="18">
        <f>2450000+3500000+3500000</f>
        <v>9450000</v>
      </c>
      <c r="O621" s="22" t="s">
        <v>1470</v>
      </c>
      <c r="Q621" s="13">
        <v>6485</v>
      </c>
      <c r="R621" s="13" t="s">
        <v>380</v>
      </c>
      <c r="S621" s="13" t="s">
        <v>493</v>
      </c>
      <c r="T621" s="13" t="s">
        <v>16</v>
      </c>
      <c r="U621" s="17">
        <f t="shared" si="22"/>
        <v>8050000</v>
      </c>
    </row>
    <row r="622" spans="1:21" x14ac:dyDescent="0.3">
      <c r="A622" s="13">
        <v>67</v>
      </c>
      <c r="B622" s="13" t="str">
        <f>+VLOOKUP(A622,'[1]PA 2023'!$A$8:$E$84,5)</f>
        <v>Formular e implementar 1 estrategia para el fortalecimiento de padres/madres y/o cuidadores en pautas de crianza y vínculos afectivos tanto en el ámbito familiar como comunitario que permita disminuir las violencias en primera infancia.</v>
      </c>
      <c r="C622" s="14">
        <v>2021680010003</v>
      </c>
      <c r="D622" s="14" t="str">
        <f>+VLOOKUP(C622,'[1]PA 2023'!$G$8:$H$84,2,FALSE)</f>
        <v>IMPLEMENTACIÓN DE ESTRATEGIAS PSICOPEDAGÓGICAS PARA LA DISMINUCIÓN DE FACTORES DE RIESGO EN NIÑOS, NIÑAS Y ADOLESCENTES EN EL MUNICIPIO DE BUCARAMANGA</v>
      </c>
      <c r="E622" s="13" t="s">
        <v>1471</v>
      </c>
      <c r="F622" s="15">
        <v>127</v>
      </c>
      <c r="G622" s="22" t="s">
        <v>1180</v>
      </c>
      <c r="H622" s="21" t="s">
        <v>1187</v>
      </c>
      <c r="I622" s="13" t="s">
        <v>1181</v>
      </c>
      <c r="J622" s="13" t="s">
        <v>1472</v>
      </c>
      <c r="K622" s="16">
        <v>45086</v>
      </c>
      <c r="L622" s="17">
        <v>28801710.07</v>
      </c>
      <c r="M622" s="17">
        <v>28801710.07</v>
      </c>
      <c r="N622" s="18">
        <v>0</v>
      </c>
      <c r="O622" s="22" t="s">
        <v>1473</v>
      </c>
      <c r="Q622" s="13">
        <v>6486</v>
      </c>
      <c r="R622" s="23" t="s">
        <v>164</v>
      </c>
      <c r="S622" s="13" t="s">
        <v>1184</v>
      </c>
      <c r="T622" s="13" t="s">
        <v>16</v>
      </c>
      <c r="U622" s="17">
        <f t="shared" si="22"/>
        <v>28801710.07</v>
      </c>
    </row>
    <row r="623" spans="1:21" x14ac:dyDescent="0.3">
      <c r="A623" s="13">
        <v>117</v>
      </c>
      <c r="B623" s="13" t="str">
        <f>+VLOOKUP(A623,'[1]PA 2023'!$A$8:$E$84,5)</f>
        <v>Formular e implementar 1 estrategia de orientación ocupacional, aprovechamiento del tiempo libre, formación y esparcimiento cultural y actividades que mejoren la calidad de vida dirigidas a personas con discapacidad.</v>
      </c>
      <c r="C623" s="14">
        <v>2020680010121</v>
      </c>
      <c r="D623" s="14" t="str">
        <f>+VLOOKUP(C623,'[1]PA 2023'!$G$8:$H$84,2,FALSE)</f>
        <v>APOYO A LA OPERATIVIDAD DE LOS PROGRAMAS DE ATENCIÓN INTEGRAL A LAS PERSONAS CON DISCAPACIDAD. FAMILIARES Y/O CUIDADORES DEL MUNICIPIO DE BUCARAMANGA</v>
      </c>
      <c r="E623" s="13" t="s">
        <v>1471</v>
      </c>
      <c r="F623" s="15">
        <v>127</v>
      </c>
      <c r="G623" s="22" t="s">
        <v>1180</v>
      </c>
      <c r="H623" s="21" t="s">
        <v>1187</v>
      </c>
      <c r="I623" s="13" t="s">
        <v>1181</v>
      </c>
      <c r="J623" s="13" t="s">
        <v>1474</v>
      </c>
      <c r="K623" s="16">
        <v>45086</v>
      </c>
      <c r="L623" s="17">
        <v>9592355.5700000003</v>
      </c>
      <c r="M623" s="17">
        <v>9592355.5700000003</v>
      </c>
      <c r="N623" s="18">
        <v>0</v>
      </c>
      <c r="O623" s="22" t="s">
        <v>1473</v>
      </c>
      <c r="Q623" s="13">
        <v>6486</v>
      </c>
      <c r="R623" s="23" t="s">
        <v>193</v>
      </c>
      <c r="S623" s="13" t="s">
        <v>1184</v>
      </c>
      <c r="T623" s="13" t="s">
        <v>16</v>
      </c>
      <c r="U623" s="17">
        <f t="shared" si="22"/>
        <v>9592355.5700000003</v>
      </c>
    </row>
    <row r="624" spans="1:21" x14ac:dyDescent="0.3">
      <c r="A624" s="13">
        <v>283</v>
      </c>
      <c r="B624" s="13" t="str">
        <f>+VLOOKUP(A624,'[1]PA 2023'!$A$8:$E$84,5)</f>
        <v>Formular e implementar 1 estrategia que fortalezca la democracia participativa (Ley 1757 de 2015).</v>
      </c>
      <c r="C624" s="14">
        <v>2022680010029</v>
      </c>
      <c r="D624" s="14" t="str">
        <f>+VLOOKUP(C624,'[1]PA 2023'!$G$8:$H$84,2,FALSE)</f>
        <v>FORTALECIMIENTO DE LA PARTICIPACIÓN CIUDADANA EN EL MUNICIPIO DE BUCARAMANGA</v>
      </c>
      <c r="E624" s="13" t="s">
        <v>1471</v>
      </c>
      <c r="F624" s="15">
        <v>127</v>
      </c>
      <c r="G624" s="22" t="s">
        <v>1180</v>
      </c>
      <c r="H624" s="21" t="s">
        <v>1187</v>
      </c>
      <c r="I624" s="13" t="s">
        <v>1181</v>
      </c>
      <c r="J624" s="13" t="s">
        <v>1475</v>
      </c>
      <c r="K624" s="16">
        <v>45086</v>
      </c>
      <c r="L624" s="17">
        <v>14379365.07</v>
      </c>
      <c r="M624" s="17">
        <v>14379365.07</v>
      </c>
      <c r="N624" s="18">
        <v>0</v>
      </c>
      <c r="O624" s="22" t="s">
        <v>1473</v>
      </c>
      <c r="Q624" s="13">
        <v>6486</v>
      </c>
      <c r="R624" s="23" t="s">
        <v>1476</v>
      </c>
      <c r="S624" s="13" t="s">
        <v>1184</v>
      </c>
      <c r="T624" s="13" t="s">
        <v>16</v>
      </c>
      <c r="U624" s="17">
        <f t="shared" si="22"/>
        <v>14379365.07</v>
      </c>
    </row>
    <row r="625" spans="1:21" x14ac:dyDescent="0.3">
      <c r="A625" s="13">
        <v>109</v>
      </c>
      <c r="B625" s="13" t="str">
        <f>+VLOOKUP(A625,'[1]PA 2023'!$A$8:$E$84,5)</f>
        <v>Establecer el centro para la atención integral de mujeres y población con orientaciones sexuales e identidades de género diversas a fin de garantizar el fortalecimiento de los procesos de atención, encuentro y empoderamiento.</v>
      </c>
      <c r="C625" s="14">
        <v>2020680010106</v>
      </c>
      <c r="D625" s="14" t="str">
        <f>+VLOOKUP(C625,'[1]PA 2023'!$G$8:$H$84,2,FALSE)</f>
        <v>FORTALECIMIENTO DE ESPACIOS DE PARTICIPACIÓN Y PREVENCIÓN DE VIOLENCIAS EN MUJERES Y POBLACIÓN CON ORIENTACIONES SEXUALES E IDENTIDADES DE GÉNERO DIVERSAS DEL MUNICIPIO DE BUCARAMANGA</v>
      </c>
      <c r="E625" s="13" t="s">
        <v>1471</v>
      </c>
      <c r="F625" s="15">
        <v>127</v>
      </c>
      <c r="G625" s="22" t="s">
        <v>1180</v>
      </c>
      <c r="H625" s="21" t="s">
        <v>1187</v>
      </c>
      <c r="I625" s="13" t="s">
        <v>1181</v>
      </c>
      <c r="J625" s="13" t="s">
        <v>1477</v>
      </c>
      <c r="K625" s="16">
        <v>45086</v>
      </c>
      <c r="L625" s="17">
        <v>14374842.26</v>
      </c>
      <c r="M625" s="17">
        <f>14374842.26-7000000</f>
        <v>7374842.2599999998</v>
      </c>
      <c r="N625" s="18">
        <v>0</v>
      </c>
      <c r="O625" s="22" t="s">
        <v>1473</v>
      </c>
      <c r="Q625" s="13">
        <v>6486</v>
      </c>
      <c r="R625" s="23" t="s">
        <v>380</v>
      </c>
      <c r="S625" s="13" t="s">
        <v>1184</v>
      </c>
      <c r="T625" s="13" t="s">
        <v>16</v>
      </c>
      <c r="U625" s="17">
        <f t="shared" si="22"/>
        <v>7374842.2599999998</v>
      </c>
    </row>
    <row r="626" spans="1:21" x14ac:dyDescent="0.3">
      <c r="A626" s="13">
        <v>105</v>
      </c>
      <c r="B626" s="13" t="str">
        <f>+VLOOKUP(A626,'[1]PA 2023'!$A$8:$E$84,5)</f>
        <v>Mantener el Centro Integral de la Mujer a fin de garantizar el fortalecimiento de los procesos de atención y empoderamiento femenino.</v>
      </c>
      <c r="C626" s="14">
        <v>2020680010106</v>
      </c>
      <c r="D626" s="14" t="str">
        <f>+VLOOKUP(C626,'[1]PA 2023'!$G$8:$H$84,2,FALSE)</f>
        <v>FORTALECIMIENTO DE ESPACIOS DE PARTICIPACIÓN Y PREVENCIÓN DE VIOLENCIAS EN MUJERES Y POBLACIÓN CON ORIENTACIONES SEXUALES E IDENTIDADES DE GÉNERO DIVERSAS DEL MUNICIPIO DE BUCARAMANGA</v>
      </c>
      <c r="E626" s="13" t="s">
        <v>1471</v>
      </c>
      <c r="F626" s="15">
        <v>127</v>
      </c>
      <c r="G626" s="22" t="s">
        <v>1180</v>
      </c>
      <c r="H626" s="21" t="s">
        <v>1187</v>
      </c>
      <c r="I626" s="13" t="s">
        <v>1181</v>
      </c>
      <c r="J626" s="13" t="s">
        <v>1477</v>
      </c>
      <c r="K626" s="16">
        <v>45086</v>
      </c>
      <c r="L626" s="17">
        <v>0</v>
      </c>
      <c r="M626" s="17">
        <v>7000000</v>
      </c>
      <c r="N626" s="18">
        <v>0</v>
      </c>
      <c r="O626" s="22" t="s">
        <v>1473</v>
      </c>
      <c r="Q626" s="13">
        <v>6486</v>
      </c>
      <c r="R626" s="23" t="s">
        <v>380</v>
      </c>
      <c r="S626" s="13" t="s">
        <v>1184</v>
      </c>
      <c r="T626" s="13" t="s">
        <v>16</v>
      </c>
      <c r="U626" s="17">
        <f t="shared" si="22"/>
        <v>7000000</v>
      </c>
    </row>
    <row r="627" spans="1:21" x14ac:dyDescent="0.3">
      <c r="A627" s="13">
        <v>300</v>
      </c>
      <c r="B627" s="13" t="str">
        <f>+VLOOKUP(A627,'[1]PA 2023'!$A$8:$E$84,5)</f>
        <v>Mantener el 100% de los programas que desarrolla la Administración Central.</v>
      </c>
      <c r="C627" s="14">
        <v>2023680010016</v>
      </c>
      <c r="D627" s="14" t="str">
        <f>+VLOOKUP(C627,'[1]PA 2023'!$G$8:$H$84,2,FALSE)</f>
        <v>APOYO A LA GESTIÓN ADMINISTRATIVA Y PROCESOS TRANSVERSALES DE LA SECRETARIA DE DESARROLLO SOCIAL DEL MUNICIPIO DE BUCARAMANGA</v>
      </c>
      <c r="E627" s="13" t="s">
        <v>597</v>
      </c>
      <c r="F627" s="15">
        <v>2381</v>
      </c>
      <c r="G627" s="22" t="s">
        <v>35</v>
      </c>
      <c r="H627" s="21" t="s">
        <v>36</v>
      </c>
      <c r="I627" s="13" t="s">
        <v>598</v>
      </c>
      <c r="J627" s="13" t="s">
        <v>1388</v>
      </c>
      <c r="K627" s="16">
        <v>45086</v>
      </c>
      <c r="L627" s="17">
        <v>15000000</v>
      </c>
      <c r="M627" s="17">
        <v>15000000</v>
      </c>
      <c r="N627" s="18">
        <f>1500000+2500000+2500000</f>
        <v>6500000</v>
      </c>
      <c r="O627" s="22" t="s">
        <v>1478</v>
      </c>
      <c r="Q627" s="13">
        <v>6487</v>
      </c>
      <c r="R627" s="13" t="s">
        <v>1390</v>
      </c>
      <c r="S627" s="13" t="s">
        <v>600</v>
      </c>
      <c r="T627" s="13" t="s">
        <v>16</v>
      </c>
      <c r="U627" s="17">
        <f t="shared" si="22"/>
        <v>8500000</v>
      </c>
    </row>
    <row r="628" spans="1:21" x14ac:dyDescent="0.3">
      <c r="A628" s="13">
        <v>98</v>
      </c>
      <c r="B628" s="13" t="str">
        <f>+VLOOKUP(A628,'[1]PA 2023'!$A$8:$E$84,5)</f>
        <v>Mantener el 100% del apoyo logístico a las familias beneficiadas del programa Familias en Acción.</v>
      </c>
      <c r="C628" s="14">
        <v>2020680010072</v>
      </c>
      <c r="D628" s="14" t="str">
        <f>+VLOOKUP(C628,'[1]PA 2023'!$G$8:$H$84,2,FALSE)</f>
        <v>APOYO A LA OPERATIVIDAD DEL PROGRAMA NACIONAL MÁS FAMILIAS EN ACCIÓN EN EL MUNICIPIO DE BUCARAMANGA</v>
      </c>
      <c r="E628" s="13" t="s">
        <v>928</v>
      </c>
      <c r="F628" s="15">
        <v>2368</v>
      </c>
      <c r="G628" s="21" t="s">
        <v>35</v>
      </c>
      <c r="H628" s="21" t="s">
        <v>36</v>
      </c>
      <c r="I628" s="13" t="s">
        <v>708</v>
      </c>
      <c r="J628" s="13" t="s">
        <v>1466</v>
      </c>
      <c r="K628" s="16">
        <v>45086</v>
      </c>
      <c r="L628" s="17">
        <v>12000000</v>
      </c>
      <c r="M628" s="17">
        <v>12000000</v>
      </c>
      <c r="N628" s="18">
        <f>1200000+2000000+2000000</f>
        <v>5200000</v>
      </c>
      <c r="O628" s="22" t="s">
        <v>1479</v>
      </c>
      <c r="Q628" s="13">
        <v>6488</v>
      </c>
      <c r="R628" s="13" t="s">
        <v>1468</v>
      </c>
      <c r="S628" s="13" t="s">
        <v>710</v>
      </c>
      <c r="T628" s="13" t="s">
        <v>16</v>
      </c>
      <c r="U628" s="17">
        <f t="shared" si="22"/>
        <v>6800000</v>
      </c>
    </row>
    <row r="629" spans="1:21" x14ac:dyDescent="0.3">
      <c r="A629" s="13">
        <v>99</v>
      </c>
      <c r="B629" s="13" t="str">
        <f>+VLOOKUP(A629,'[1]PA 2023'!$A$8:$E$84,5)</f>
        <v>Formular e implementar 1 estrategia para brindar asistencia social a la población afectada por las diferentes emergencias y particularmente COVID-19.</v>
      </c>
      <c r="C629" s="14">
        <v>2022680010036</v>
      </c>
      <c r="D629" s="14" t="str">
        <f>+VLOOKUP(C629,'[1]PA 2023'!$G$8:$H$84,2,FALSE)</f>
        <v>IMPLEMENTACIÓN DE ACCIONES DE ASISTENCIA SOCIAL ORIENTADAS A LA POBLACIÓN AFECTADA POR LAS DIFERENTES EMERGENCIAS SOCIALES, NATURALES, SANITARIAS ANTRÓPICAS O EN SITUACIÓN DE VULNERABILIDAD EN EL MUNICIPIO DE BUCARAMANGA</v>
      </c>
      <c r="E629" s="13" t="s">
        <v>536</v>
      </c>
      <c r="F629" s="15">
        <v>2364</v>
      </c>
      <c r="G629" s="21" t="s">
        <v>43</v>
      </c>
      <c r="H629" s="21" t="s">
        <v>36</v>
      </c>
      <c r="I629" s="13" t="s">
        <v>537</v>
      </c>
      <c r="J629" s="13" t="s">
        <v>538</v>
      </c>
      <c r="K629" s="16">
        <v>45086</v>
      </c>
      <c r="L629" s="17">
        <v>15600000</v>
      </c>
      <c r="M629" s="17">
        <v>15600000</v>
      </c>
      <c r="N629" s="18">
        <f>1560000+2600000+2600000</f>
        <v>6760000</v>
      </c>
      <c r="O629" s="22" t="s">
        <v>1480</v>
      </c>
      <c r="Q629" s="13">
        <v>6491</v>
      </c>
      <c r="R629" s="13" t="s">
        <v>540</v>
      </c>
      <c r="S629" s="13" t="s">
        <v>541</v>
      </c>
      <c r="T629" s="13" t="s">
        <v>16</v>
      </c>
      <c r="U629" s="17">
        <f t="shared" si="22"/>
        <v>8840000</v>
      </c>
    </row>
    <row r="630" spans="1:21" x14ac:dyDescent="0.3">
      <c r="A630" s="13">
        <v>99</v>
      </c>
      <c r="B630" s="13" t="str">
        <f>+VLOOKUP(A630,'[1]PA 2023'!$A$8:$E$84,5)</f>
        <v>Formular e implementar 1 estrategia para brindar asistencia social a la población afectada por las diferentes emergencias y particularmente COVID-19.</v>
      </c>
      <c r="C630" s="14">
        <v>2022680010036</v>
      </c>
      <c r="D630" s="14" t="str">
        <f>+VLOOKUP(C630,'[1]PA 2023'!$G$8:$H$84,2,FALSE)</f>
        <v>IMPLEMENTACIÓN DE ACCIONES DE ASISTENCIA SOCIAL ORIENTADAS A LA POBLACIÓN AFECTADA POR LAS DIFERENTES EMERGENCIAS SOCIALES, NATURALES, SANITARIAS ANTRÓPICAS O EN SITUACIÓN DE VULNERABILIDAD EN EL MUNICIPIO DE BUCARAMANGA</v>
      </c>
      <c r="E630" s="13" t="s">
        <v>1481</v>
      </c>
      <c r="F630" s="15">
        <v>123</v>
      </c>
      <c r="G630" s="22" t="s">
        <v>1180</v>
      </c>
      <c r="H630" s="21" t="s">
        <v>1165</v>
      </c>
      <c r="I630" s="13" t="s">
        <v>1482</v>
      </c>
      <c r="J630" s="13" t="s">
        <v>1483</v>
      </c>
      <c r="K630" s="16">
        <v>45086</v>
      </c>
      <c r="L630" s="17">
        <v>8352000</v>
      </c>
      <c r="M630" s="17">
        <v>8352000</v>
      </c>
      <c r="N630" s="18">
        <v>8352000</v>
      </c>
      <c r="O630" s="22" t="s">
        <v>1484</v>
      </c>
      <c r="Q630" s="13">
        <v>6492</v>
      </c>
      <c r="R630" s="23" t="s">
        <v>1169</v>
      </c>
      <c r="S630" s="13" t="s">
        <v>1485</v>
      </c>
      <c r="T630" s="13" t="s">
        <v>16</v>
      </c>
      <c r="U630" s="17">
        <f t="shared" si="22"/>
        <v>0</v>
      </c>
    </row>
    <row r="631" spans="1:21" x14ac:dyDescent="0.3">
      <c r="A631" s="13">
        <v>99</v>
      </c>
      <c r="B631" s="13" t="str">
        <f>+VLOOKUP(A631,'[1]PA 2023'!$A$8:$E$84,5)</f>
        <v>Formular e implementar 1 estrategia para brindar asistencia social a la población afectada por las diferentes emergencias y particularmente COVID-19.</v>
      </c>
      <c r="C631" s="14">
        <v>2022680010036</v>
      </c>
      <c r="D631" s="14" t="str">
        <f>+VLOOKUP(C631,'[1]PA 2023'!$G$8:$H$84,2,FALSE)</f>
        <v>IMPLEMENTACIÓN DE ACCIONES DE ASISTENCIA SOCIAL ORIENTADAS A LA POBLACIÓN AFECTADA POR LAS DIFERENTES EMERGENCIAS SOCIALES, NATURALES, SANITARIAS ANTRÓPICAS O EN SITUACIÓN DE VULNERABILIDAD EN EL MUNICIPIO DE BUCARAMANGA</v>
      </c>
      <c r="E631" s="13" t="s">
        <v>1481</v>
      </c>
      <c r="F631" s="15">
        <v>123</v>
      </c>
      <c r="G631" s="22" t="s">
        <v>1180</v>
      </c>
      <c r="H631" s="21" t="s">
        <v>1165</v>
      </c>
      <c r="I631" s="13" t="s">
        <v>1482</v>
      </c>
      <c r="J631" s="13" t="s">
        <v>1486</v>
      </c>
      <c r="K631" s="16">
        <v>45086</v>
      </c>
      <c r="L631" s="17">
        <v>8134000</v>
      </c>
      <c r="M631" s="17">
        <v>8134000</v>
      </c>
      <c r="N631" s="18">
        <v>8134000</v>
      </c>
      <c r="O631" s="22" t="s">
        <v>1484</v>
      </c>
      <c r="Q631" s="13">
        <v>6492</v>
      </c>
      <c r="R631" s="23" t="s">
        <v>540</v>
      </c>
      <c r="S631" s="13" t="s">
        <v>1485</v>
      </c>
      <c r="T631" s="13" t="s">
        <v>16</v>
      </c>
      <c r="U631" s="17">
        <f t="shared" si="22"/>
        <v>0</v>
      </c>
    </row>
    <row r="632" spans="1:21" x14ac:dyDescent="0.3">
      <c r="A632" s="13">
        <v>107</v>
      </c>
      <c r="B632" s="13" t="str">
        <f>+VLOOKUP(A632,'[1]PA 2023'!$A$8:$E$84,5)</f>
        <v>Formular e implementar 1 política pública para la población con orientación sexual e identidad de género diversa.</v>
      </c>
      <c r="C632" s="14">
        <v>2023680010015</v>
      </c>
      <c r="D632" s="14" t="str">
        <f>+VLOOKUP(C632,'[1]PA 2023'!$G$8:$H$84,2,FALSE)</f>
        <v>FORTALECIMIENTO DE ACCIONES ORIENTADAS AL CIERRE DE BRECHAS DE GÉNERO PARA MUJERES Y POBLACIÓN CON ORIENTACIONES SEXUALES E IDENTIDADES DE GÉNERO DIVERSAS DEL MUNICIPIO DE BUCARAMANGA</v>
      </c>
      <c r="E632" s="13" t="s">
        <v>1487</v>
      </c>
      <c r="F632" s="15">
        <v>2374</v>
      </c>
      <c r="G632" s="21" t="s">
        <v>35</v>
      </c>
      <c r="H632" s="21" t="s">
        <v>36</v>
      </c>
      <c r="I632" s="13" t="s">
        <v>1142</v>
      </c>
      <c r="J632" s="13" t="s">
        <v>1488</v>
      </c>
      <c r="K632" s="16">
        <v>45090</v>
      </c>
      <c r="L632" s="17">
        <v>10000000</v>
      </c>
      <c r="M632" s="17">
        <v>10000000</v>
      </c>
      <c r="N632" s="18">
        <f>1200000+2000000+2000000</f>
        <v>5200000</v>
      </c>
      <c r="O632" s="22" t="s">
        <v>1489</v>
      </c>
      <c r="Q632" s="13">
        <v>6540</v>
      </c>
      <c r="R632" s="13" t="s">
        <v>1490</v>
      </c>
      <c r="S632" s="13" t="s">
        <v>1144</v>
      </c>
      <c r="T632" s="13" t="s">
        <v>16</v>
      </c>
      <c r="U632" s="17">
        <f t="shared" si="22"/>
        <v>4800000</v>
      </c>
    </row>
    <row r="633" spans="1:21" x14ac:dyDescent="0.3">
      <c r="A633" s="13">
        <v>107</v>
      </c>
      <c r="B633" s="13" t="str">
        <f>+VLOOKUP(A633,'[1]PA 2023'!$A$8:$E$84,5)</f>
        <v>Formular e implementar 1 política pública para la población con orientación sexual e identidad de género diversa.</v>
      </c>
      <c r="C633" s="14">
        <v>2020680010106</v>
      </c>
      <c r="D633" s="14" t="str">
        <f>+VLOOKUP(C633,'[1]PA 2023'!$G$8:$H$84,2,FALSE)</f>
        <v>FORTALECIMIENTO DE ESPACIOS DE PARTICIPACIÓN Y PREVENCIÓN DE VIOLENCIAS EN MUJERES Y POBLACIÓN CON ORIENTACIONES SEXUALES E IDENTIDADES DE GÉNERO DIVERSAS DEL MUNICIPIO DE BUCARAMANGA</v>
      </c>
      <c r="E633" s="13" t="s">
        <v>1491</v>
      </c>
      <c r="F633" s="15">
        <v>2375</v>
      </c>
      <c r="G633" s="21" t="s">
        <v>43</v>
      </c>
      <c r="H633" s="21" t="s">
        <v>36</v>
      </c>
      <c r="I633" s="13" t="s">
        <v>454</v>
      </c>
      <c r="J633" s="13" t="s">
        <v>378</v>
      </c>
      <c r="K633" s="16">
        <v>45090</v>
      </c>
      <c r="L633" s="17">
        <v>17500000</v>
      </c>
      <c r="M633" s="17">
        <v>17500000</v>
      </c>
      <c r="N633" s="18">
        <f>2100000+3500000+3500000</f>
        <v>9100000</v>
      </c>
      <c r="O633" s="22" t="s">
        <v>1492</v>
      </c>
      <c r="Q633" s="13">
        <v>6541</v>
      </c>
      <c r="R633" s="13" t="s">
        <v>380</v>
      </c>
      <c r="S633" s="13" t="s">
        <v>456</v>
      </c>
      <c r="T633" s="13" t="s">
        <v>16</v>
      </c>
      <c r="U633" s="17">
        <f t="shared" si="22"/>
        <v>8400000</v>
      </c>
    </row>
    <row r="634" spans="1:21" x14ac:dyDescent="0.3">
      <c r="A634" s="13">
        <v>107</v>
      </c>
      <c r="B634" s="13" t="str">
        <f>+VLOOKUP(A634,'[1]PA 2023'!$A$8:$E$84,5)</f>
        <v>Formular e implementar 1 política pública para la población con orientación sexual e identidad de género diversa.</v>
      </c>
      <c r="C634" s="14">
        <v>2020680010106</v>
      </c>
      <c r="D634" s="14" t="str">
        <f>+VLOOKUP(C634,'[1]PA 2023'!$G$8:$H$84,2,FALSE)</f>
        <v>FORTALECIMIENTO DE ESPACIOS DE PARTICIPACIÓN Y PREVENCIÓN DE VIOLENCIAS EN MUJERES Y POBLACIÓN CON ORIENTACIONES SEXUALES E IDENTIDADES DE GÉNERO DIVERSAS DEL MUNICIPIO DE BUCARAMANGA</v>
      </c>
      <c r="E634" s="13" t="s">
        <v>392</v>
      </c>
      <c r="F634" s="15">
        <v>2369</v>
      </c>
      <c r="G634" s="21" t="s">
        <v>43</v>
      </c>
      <c r="H634" s="21" t="s">
        <v>36</v>
      </c>
      <c r="I634" s="13" t="s">
        <v>393</v>
      </c>
      <c r="J634" s="13" t="s">
        <v>378</v>
      </c>
      <c r="K634" s="16">
        <v>45090</v>
      </c>
      <c r="L634" s="17">
        <v>25000000</v>
      </c>
      <c r="M634" s="17">
        <v>25000000</v>
      </c>
      <c r="N634" s="18">
        <f>3000000+5000000+5000000</f>
        <v>13000000</v>
      </c>
      <c r="O634" s="22" t="s">
        <v>1493</v>
      </c>
      <c r="Q634" s="13">
        <v>6542</v>
      </c>
      <c r="R634" s="13" t="s">
        <v>380</v>
      </c>
      <c r="S634" s="13" t="s">
        <v>395</v>
      </c>
      <c r="T634" s="13" t="s">
        <v>16</v>
      </c>
      <c r="U634" s="17">
        <f t="shared" si="22"/>
        <v>12000000</v>
      </c>
    </row>
    <row r="635" spans="1:21" x14ac:dyDescent="0.3">
      <c r="A635" s="13">
        <v>105</v>
      </c>
      <c r="B635" s="13" t="str">
        <f>+VLOOKUP(A635,'[1]PA 2023'!$A$8:$E$84,5)</f>
        <v>Mantener el Centro Integral de la Mujer a fin de garantizar el fortalecimiento de los procesos de atención y empoderamiento femenino.</v>
      </c>
      <c r="C635" s="14">
        <v>2023680010015</v>
      </c>
      <c r="D635" s="14" t="str">
        <f>+VLOOKUP(C635,'[1]PA 2023'!$G$8:$H$84,2,FALSE)</f>
        <v>FORTALECIMIENTO DE ACCIONES ORIENTADAS AL CIERRE DE BRECHAS DE GÉNERO PARA MUJERES Y POBLACIÓN CON ORIENTACIONES SEXUALES E IDENTIDADES DE GÉNERO DIVERSAS DEL MUNICIPIO DE BUCARAMANGA</v>
      </c>
      <c r="E635" s="13" t="s">
        <v>956</v>
      </c>
      <c r="F635" s="15">
        <v>2373</v>
      </c>
      <c r="G635" s="21" t="s">
        <v>43</v>
      </c>
      <c r="H635" s="21" t="s">
        <v>36</v>
      </c>
      <c r="I635" s="13" t="s">
        <v>957</v>
      </c>
      <c r="J635" s="13" t="s">
        <v>1488</v>
      </c>
      <c r="K635" s="16">
        <v>45090</v>
      </c>
      <c r="L635" s="17">
        <v>16500000</v>
      </c>
      <c r="M635" s="17">
        <v>16500000</v>
      </c>
      <c r="N635" s="18">
        <f>1980000+3300000+3300000</f>
        <v>8580000</v>
      </c>
      <c r="O635" s="22" t="s">
        <v>1494</v>
      </c>
      <c r="Q635" s="13">
        <v>6543</v>
      </c>
      <c r="R635" s="13" t="s">
        <v>1490</v>
      </c>
      <c r="S635" s="13" t="s">
        <v>959</v>
      </c>
      <c r="T635" s="13" t="s">
        <v>16</v>
      </c>
      <c r="U635" s="17">
        <f t="shared" si="22"/>
        <v>7920000</v>
      </c>
    </row>
    <row r="636" spans="1:21" x14ac:dyDescent="0.3">
      <c r="A636" s="13">
        <v>94</v>
      </c>
      <c r="B636" s="13" t="str">
        <f>+VLOOKUP(A636,'[1]PA 2023'!$A$8:$E$84,5)</f>
        <v>Mantener el servicio atención primaria en salud, atención psicosocial que promueva la salud física, salud mental y el bienestar social de las personas mayores en los centros vida.</v>
      </c>
      <c r="C636" s="14">
        <v>2020680010040</v>
      </c>
      <c r="D636" s="14" t="str">
        <f>+VLOOKUP(C636,'[1]PA 2023'!$G$8:$H$84,2,FALSE)</f>
        <v>IMPLEMENTACIÓN DE ACCIONES TENDIENTES A MEJORAR LAS CONDICIONES DE LOS ADULTOS MAYORES DEL MUNICIPIO DE BUCARAMANGA</v>
      </c>
      <c r="E636" s="13" t="s">
        <v>613</v>
      </c>
      <c r="F636" s="15">
        <v>2426</v>
      </c>
      <c r="G636" s="21" t="s">
        <v>43</v>
      </c>
      <c r="H636" s="21" t="s">
        <v>36</v>
      </c>
      <c r="I636" s="13" t="s">
        <v>614</v>
      </c>
      <c r="J636" s="13" t="s">
        <v>574</v>
      </c>
      <c r="K636" s="16">
        <v>45090</v>
      </c>
      <c r="L636" s="17">
        <v>27500000</v>
      </c>
      <c r="M636" s="17">
        <v>27500000</v>
      </c>
      <c r="N636" s="18">
        <f>3116666.67+5500000+5500000</f>
        <v>14116666.67</v>
      </c>
      <c r="O636" s="22" t="s">
        <v>1495</v>
      </c>
      <c r="Q636" s="13">
        <v>6553</v>
      </c>
      <c r="R636" s="13" t="s">
        <v>26</v>
      </c>
      <c r="S636" s="13" t="s">
        <v>616</v>
      </c>
      <c r="T636" s="13" t="s">
        <v>16</v>
      </c>
      <c r="U636" s="17">
        <f t="shared" si="22"/>
        <v>13383333.33</v>
      </c>
    </row>
    <row r="637" spans="1:21" x14ac:dyDescent="0.3">
      <c r="A637" s="13">
        <v>99</v>
      </c>
      <c r="B637" s="13" t="str">
        <f>+VLOOKUP(A637,'[1]PA 2023'!$A$8:$E$84,5)</f>
        <v>Formular e implementar 1 estrategia para brindar asistencia social a la población afectada por las diferentes emergencias y particularmente COVID-19.</v>
      </c>
      <c r="C637" s="14">
        <v>2022680010036</v>
      </c>
      <c r="D637" s="14" t="str">
        <f>+VLOOKUP(C637,'[1]PA 2023'!$G$8:$H$84,2,FALSE)</f>
        <v>IMPLEMENTACIÓN DE ACCIONES DE ASISTENCIA SOCIAL ORIENTADAS A LA POBLACIÓN AFECTADA POR LAS DIFERENTES EMERGENCIAS SOCIALES, NATURALES, SANITARIAS ANTRÓPICAS O EN SITUACIÓN DE VULNERABILIDAD EN EL MUNICIPIO DE BUCARAMANGA</v>
      </c>
      <c r="E637" s="13" t="s">
        <v>536</v>
      </c>
      <c r="F637" s="15">
        <v>2425</v>
      </c>
      <c r="G637" s="21" t="s">
        <v>43</v>
      </c>
      <c r="H637" s="21" t="s">
        <v>36</v>
      </c>
      <c r="I637" s="13" t="s">
        <v>1053</v>
      </c>
      <c r="J637" s="13" t="s">
        <v>538</v>
      </c>
      <c r="K637" s="16">
        <v>45090</v>
      </c>
      <c r="L637" s="17">
        <v>12000000</v>
      </c>
      <c r="M637" s="17">
        <v>12000000</v>
      </c>
      <c r="N637" s="18">
        <f>1133333.33+2000000+2000000</f>
        <v>5133333.33</v>
      </c>
      <c r="O637" s="22" t="s">
        <v>1496</v>
      </c>
      <c r="Q637" s="13">
        <v>6554</v>
      </c>
      <c r="R637" s="13" t="s">
        <v>540</v>
      </c>
      <c r="S637" s="13" t="s">
        <v>1055</v>
      </c>
      <c r="T637" s="13" t="s">
        <v>16</v>
      </c>
      <c r="U637" s="17">
        <f t="shared" si="22"/>
        <v>6866666.6699999999</v>
      </c>
    </row>
    <row r="638" spans="1:21" x14ac:dyDescent="0.3">
      <c r="A638" s="13">
        <v>94</v>
      </c>
      <c r="B638" s="13" t="str">
        <f>+VLOOKUP(A638,'[1]PA 2023'!$A$8:$E$84,5)</f>
        <v>Mantener el servicio atención primaria en salud, atención psicosocial que promueva la salud física, salud mental y el bienestar social de las personas mayores en los centros vida.</v>
      </c>
      <c r="C638" s="14">
        <v>2020680010040</v>
      </c>
      <c r="D638" s="14" t="str">
        <f>+VLOOKUP(C638,'[1]PA 2023'!$G$8:$H$84,2,FALSE)</f>
        <v>IMPLEMENTACIÓN DE ACCIONES TENDIENTES A MEJORAR LAS CONDICIONES DE LOS ADULTOS MAYORES DEL MUNICIPIO DE BUCARAMANGA</v>
      </c>
      <c r="E638" s="13" t="s">
        <v>629</v>
      </c>
      <c r="F638" s="15">
        <v>2440</v>
      </c>
      <c r="G638" s="21" t="s">
        <v>43</v>
      </c>
      <c r="H638" s="21" t="s">
        <v>36</v>
      </c>
      <c r="I638" s="13" t="s">
        <v>618</v>
      </c>
      <c r="J638" s="13" t="s">
        <v>574</v>
      </c>
      <c r="K638" s="16">
        <v>45091</v>
      </c>
      <c r="L638" s="17">
        <v>15000000</v>
      </c>
      <c r="M638" s="17">
        <v>15000000</v>
      </c>
      <c r="N638" s="18">
        <f>1600000+3000000+3000000</f>
        <v>7600000</v>
      </c>
      <c r="O638" s="22" t="s">
        <v>1497</v>
      </c>
      <c r="Q638" s="13">
        <v>6606</v>
      </c>
      <c r="R638" s="13" t="s">
        <v>26</v>
      </c>
      <c r="S638" s="13" t="s">
        <v>620</v>
      </c>
      <c r="T638" s="13" t="s">
        <v>16</v>
      </c>
      <c r="U638" s="17">
        <f t="shared" si="22"/>
        <v>7400000</v>
      </c>
    </row>
    <row r="639" spans="1:21" x14ac:dyDescent="0.3">
      <c r="A639" s="13">
        <v>99</v>
      </c>
      <c r="B639" s="13" t="str">
        <f>+VLOOKUP(A639,'[1]PA 2023'!$A$8:$E$84,5)</f>
        <v>Formular e implementar 1 estrategia para brindar asistencia social a la población afectada por las diferentes emergencias y particularmente COVID-19.</v>
      </c>
      <c r="C639" s="14">
        <v>2022680010036</v>
      </c>
      <c r="D639" s="14" t="str">
        <f>+VLOOKUP(C639,'[1]PA 2023'!$G$8:$H$84,2,FALSE)</f>
        <v>IMPLEMENTACIÓN DE ACCIONES DE ASISTENCIA SOCIAL ORIENTADAS A LA POBLACIÓN AFECTADA POR LAS DIFERENTES EMERGENCIAS SOCIALES, NATURALES, SANITARIAS ANTRÓPICAS O EN SITUACIÓN DE VULNERABILIDAD EN EL MUNICIPIO DE BUCARAMANGA</v>
      </c>
      <c r="E639" s="13" t="s">
        <v>536</v>
      </c>
      <c r="F639" s="15">
        <v>2435</v>
      </c>
      <c r="G639" s="21" t="s">
        <v>43</v>
      </c>
      <c r="H639" s="21" t="s">
        <v>36</v>
      </c>
      <c r="I639" s="13" t="s">
        <v>1214</v>
      </c>
      <c r="J639" s="13" t="s">
        <v>1498</v>
      </c>
      <c r="K639" s="16">
        <v>45091</v>
      </c>
      <c r="L639" s="17">
        <v>12000000</v>
      </c>
      <c r="M639" s="17">
        <v>12000000</v>
      </c>
      <c r="N639" s="18">
        <f>1066666.67+2000000+2000000</f>
        <v>5066666.67</v>
      </c>
      <c r="O639" s="22" t="s">
        <v>1499</v>
      </c>
      <c r="Q639" s="13">
        <v>6607</v>
      </c>
      <c r="R639" s="13" t="s">
        <v>1500</v>
      </c>
      <c r="S639" s="13" t="s">
        <v>1216</v>
      </c>
      <c r="T639" s="13" t="s">
        <v>16</v>
      </c>
      <c r="U639" s="17">
        <f t="shared" si="22"/>
        <v>6933333.3300000001</v>
      </c>
    </row>
    <row r="640" spans="1:21" x14ac:dyDescent="0.3">
      <c r="A640" s="13">
        <v>93</v>
      </c>
      <c r="B640" s="13" t="str">
        <f>+VLOOKUP(A640,'[1]PA 2023'!$A$8:$E$84,5)</f>
        <v>Mantener en funcionamiento los 3 Centros Vida con la prestacion de servicios integrales y/o dotacion de los mismos cumpliendo con la oferta institucional.</v>
      </c>
      <c r="C640" s="14">
        <v>2020680010040</v>
      </c>
      <c r="D640" s="14" t="str">
        <f>+VLOOKUP(C640,'[1]PA 2023'!$G$8:$H$84,2,FALSE)</f>
        <v>IMPLEMENTACIÓN DE ACCIONES TENDIENTES A MEJORAR LAS CONDICIONES DE LOS ADULTOS MAYORES DEL MUNICIPIO DE BUCARAMANGA</v>
      </c>
      <c r="E640" s="13" t="s">
        <v>1501</v>
      </c>
      <c r="F640" s="15">
        <v>2433</v>
      </c>
      <c r="G640" s="21" t="s">
        <v>43</v>
      </c>
      <c r="H640" s="21" t="s">
        <v>36</v>
      </c>
      <c r="I640" s="13" t="s">
        <v>642</v>
      </c>
      <c r="J640" s="13" t="s">
        <v>574</v>
      </c>
      <c r="K640" s="16">
        <v>45091</v>
      </c>
      <c r="L640" s="17">
        <v>15000000</v>
      </c>
      <c r="M640" s="17">
        <v>15000000</v>
      </c>
      <c r="N640" s="18">
        <f>1600000+3000000+3000000</f>
        <v>7600000</v>
      </c>
      <c r="O640" s="22" t="s">
        <v>1502</v>
      </c>
      <c r="Q640" s="13">
        <v>6608</v>
      </c>
      <c r="R640" s="13" t="s">
        <v>26</v>
      </c>
      <c r="S640" s="13" t="s">
        <v>644</v>
      </c>
      <c r="T640" s="13" t="s">
        <v>16</v>
      </c>
      <c r="U640" s="17">
        <f t="shared" si="22"/>
        <v>7400000</v>
      </c>
    </row>
    <row r="641" spans="1:21" x14ac:dyDescent="0.3">
      <c r="A641" s="13">
        <v>94</v>
      </c>
      <c r="B641" s="13" t="str">
        <f>+VLOOKUP(A641,'[1]PA 2023'!$A$8:$E$84,5)</f>
        <v>Mantener el servicio atención primaria en salud, atención psicosocial que promueva la salud física, salud mental y el bienestar social de las personas mayores en los centros vida.</v>
      </c>
      <c r="C641" s="14">
        <v>2020680010040</v>
      </c>
      <c r="D641" s="14" t="str">
        <f>+VLOOKUP(C641,'[1]PA 2023'!$G$8:$H$84,2,FALSE)</f>
        <v>IMPLEMENTACIÓN DE ACCIONES TENDIENTES A MEJORAR LAS CONDICIONES DE LOS ADULTOS MAYORES DEL MUNICIPIO DE BUCARAMANGA</v>
      </c>
      <c r="E641" s="13" t="s">
        <v>641</v>
      </c>
      <c r="F641" s="15">
        <v>2432</v>
      </c>
      <c r="G641" s="21" t="s">
        <v>43</v>
      </c>
      <c r="H641" s="21" t="s">
        <v>36</v>
      </c>
      <c r="I641" s="13" t="s">
        <v>788</v>
      </c>
      <c r="J641" s="13" t="s">
        <v>574</v>
      </c>
      <c r="K641" s="16">
        <v>45091</v>
      </c>
      <c r="L641" s="17">
        <v>15000000</v>
      </c>
      <c r="M641" s="17">
        <v>15000000</v>
      </c>
      <c r="N641" s="18">
        <f>1600000+3000000+3000000</f>
        <v>7600000</v>
      </c>
      <c r="O641" s="22" t="s">
        <v>1503</v>
      </c>
      <c r="Q641" s="13">
        <v>6609</v>
      </c>
      <c r="R641" s="13" t="s">
        <v>26</v>
      </c>
      <c r="S641" s="13" t="s">
        <v>790</v>
      </c>
      <c r="T641" s="13" t="s">
        <v>16</v>
      </c>
      <c r="U641" s="17">
        <f t="shared" si="22"/>
        <v>7400000</v>
      </c>
    </row>
    <row r="642" spans="1:21" x14ac:dyDescent="0.3">
      <c r="A642" s="13">
        <v>283</v>
      </c>
      <c r="B642" s="13" t="str">
        <f>+VLOOKUP(A642,'[1]PA 2023'!$A$8:$E$84,5)</f>
        <v>Formular e implementar 1 estrategia que fortalezca la democracia participativa (Ley 1757 de 2015).</v>
      </c>
      <c r="C642" s="14">
        <v>2022680010035</v>
      </c>
      <c r="D642" s="14" t="str">
        <f>+VLOOKUP(C642,'[1]PA 2023'!$G$8:$H$84,2,FALSE)</f>
        <v>FORTALECIMIENTO DE LA PARTICIPACIÓN E INCIDENCIA DE LAS EXPRESIONES E INSTITUCIONES DEMOCRÁTICAS JUVENILES DE LA CIUDAD DE BUCARAMANGA</v>
      </c>
      <c r="E642" s="13" t="s">
        <v>1504</v>
      </c>
      <c r="F642" s="15">
        <v>2434</v>
      </c>
      <c r="G642" s="21" t="s">
        <v>43</v>
      </c>
      <c r="H642" s="21" t="s">
        <v>36</v>
      </c>
      <c r="I642" s="13" t="s">
        <v>569</v>
      </c>
      <c r="J642" s="13" t="s">
        <v>1505</v>
      </c>
      <c r="K642" s="16">
        <v>45091</v>
      </c>
      <c r="L642" s="17">
        <v>21000000</v>
      </c>
      <c r="M642" s="17">
        <v>21000000</v>
      </c>
      <c r="N642" s="18">
        <f>1866666.67+3500000+3500000</f>
        <v>8866666.6699999999</v>
      </c>
      <c r="O642" s="22" t="s">
        <v>1506</v>
      </c>
      <c r="Q642" s="13">
        <v>6610</v>
      </c>
      <c r="R642" s="13" t="s">
        <v>1462</v>
      </c>
      <c r="S642" s="13" t="s">
        <v>571</v>
      </c>
      <c r="T642" s="13" t="s">
        <v>16</v>
      </c>
      <c r="U642" s="17">
        <f t="shared" si="22"/>
        <v>12133333.33</v>
      </c>
    </row>
    <row r="643" spans="1:21" x14ac:dyDescent="0.3">
      <c r="A643" s="13">
        <v>117</v>
      </c>
      <c r="B643" s="13" t="str">
        <f>+VLOOKUP(A643,'[1]PA 2023'!$A$8:$E$84,5)</f>
        <v>Formular e implementar 1 estrategia de orientación ocupacional, aprovechamiento del tiempo libre, formación y esparcimiento cultural y actividades que mejoren la calidad de vida dirigidas a personas con discapacidad.</v>
      </c>
      <c r="C643" s="14">
        <v>2020680010121</v>
      </c>
      <c r="D643" s="14" t="str">
        <f>+VLOOKUP(C643,'[1]PA 2023'!$G$8:$H$84,2,FALSE)</f>
        <v>APOYO A LA OPERATIVIDAD DE LOS PROGRAMAS DE ATENCIÓN INTEGRAL A LAS PERSONAS CON DISCAPACIDAD. FAMILIARES Y/O CUIDADORES DEL MUNICIPIO DE BUCARAMANGA</v>
      </c>
      <c r="E643" s="13" t="s">
        <v>1507</v>
      </c>
      <c r="F643" s="15">
        <v>131</v>
      </c>
      <c r="G643" s="22" t="s">
        <v>184</v>
      </c>
      <c r="H643" s="21" t="s">
        <v>185</v>
      </c>
      <c r="I643" s="13" t="s">
        <v>1508</v>
      </c>
      <c r="J643" s="13" t="s">
        <v>191</v>
      </c>
      <c r="K643" s="16">
        <v>45092</v>
      </c>
      <c r="L643" s="17">
        <v>134400000</v>
      </c>
      <c r="M643" s="17">
        <v>134400000</v>
      </c>
      <c r="N643" s="18">
        <v>33600000</v>
      </c>
      <c r="O643" s="22" t="s">
        <v>1509</v>
      </c>
      <c r="Q643" s="13">
        <v>6639</v>
      </c>
      <c r="R643" s="13" t="s">
        <v>193</v>
      </c>
      <c r="S643" s="13" t="s">
        <v>1510</v>
      </c>
      <c r="T643" s="13" t="s">
        <v>16</v>
      </c>
      <c r="U643" s="17">
        <f t="shared" si="22"/>
        <v>100800000</v>
      </c>
    </row>
    <row r="644" spans="1:21" x14ac:dyDescent="0.3">
      <c r="A644" s="13">
        <v>99</v>
      </c>
      <c r="B644" s="13" t="str">
        <f>+VLOOKUP(A644,'[1]PA 2023'!$A$8:$E$84,5)</f>
        <v>Formular e implementar 1 estrategia para brindar asistencia social a la población afectada por las diferentes emergencias y particularmente COVID-19.</v>
      </c>
      <c r="C644" s="14">
        <v>2022680010036</v>
      </c>
      <c r="D644" s="14" t="str">
        <f>+VLOOKUP(C644,'[1]PA 2023'!$G$8:$H$84,2,FALSE)</f>
        <v>IMPLEMENTACIÓN DE ACCIONES DE ASISTENCIA SOCIAL ORIENTADAS A LA POBLACIÓN AFECTADA POR LAS DIFERENTES EMERGENCIAS SOCIALES, NATURALES, SANITARIAS ANTRÓPICAS O EN SITUACIÓN DE VULNERABILIDAD EN EL MUNICIPIO DE BUCARAMANGA</v>
      </c>
      <c r="E644" s="13" t="s">
        <v>542</v>
      </c>
      <c r="F644" s="15">
        <v>2438</v>
      </c>
      <c r="G644" s="21" t="s">
        <v>43</v>
      </c>
      <c r="H644" s="21" t="s">
        <v>36</v>
      </c>
      <c r="I644" s="13" t="s">
        <v>543</v>
      </c>
      <c r="J644" s="13" t="s">
        <v>538</v>
      </c>
      <c r="K644" s="16">
        <v>45092</v>
      </c>
      <c r="L644" s="17">
        <v>12000000</v>
      </c>
      <c r="M644" s="17">
        <v>12000000</v>
      </c>
      <c r="N644" s="18">
        <f>1066666.67+2000000+2000000</f>
        <v>5066666.67</v>
      </c>
      <c r="O644" s="22" t="s">
        <v>1511</v>
      </c>
      <c r="Q644" s="13">
        <v>6640</v>
      </c>
      <c r="R644" s="13" t="s">
        <v>540</v>
      </c>
      <c r="S644" s="13" t="s">
        <v>545</v>
      </c>
      <c r="T644" s="13" t="s">
        <v>16</v>
      </c>
      <c r="U644" s="17">
        <f t="shared" si="22"/>
        <v>6933333.3300000001</v>
      </c>
    </row>
    <row r="645" spans="1:21" x14ac:dyDescent="0.3">
      <c r="A645" s="13">
        <v>94</v>
      </c>
      <c r="B645" s="13" t="str">
        <f>+VLOOKUP(A645,'[1]PA 2023'!$A$8:$E$84,5)</f>
        <v>Mantener el servicio atención primaria en salud, atención psicosocial que promueva la salud física, salud mental y el bienestar social de las personas mayores en los centros vida.</v>
      </c>
      <c r="C645" s="14">
        <v>2020680010040</v>
      </c>
      <c r="D645" s="14" t="str">
        <f>+VLOOKUP(C645,'[1]PA 2023'!$G$8:$H$84,2,FALSE)</f>
        <v>IMPLEMENTACIÓN DE ACCIONES TENDIENTES A MEJORAR LAS CONDICIONES DE LOS ADULTOS MAYORES DEL MUNICIPIO DE BUCARAMANGA</v>
      </c>
      <c r="E645" s="13" t="s">
        <v>1512</v>
      </c>
      <c r="F645" s="15">
        <v>2437</v>
      </c>
      <c r="G645" s="21" t="s">
        <v>43</v>
      </c>
      <c r="H645" s="21" t="s">
        <v>36</v>
      </c>
      <c r="I645" s="13" t="s">
        <v>693</v>
      </c>
      <c r="J645" s="13" t="s">
        <v>574</v>
      </c>
      <c r="K645" s="16">
        <v>45092</v>
      </c>
      <c r="L645" s="17">
        <v>15000000</v>
      </c>
      <c r="M645" s="17">
        <v>15000000</v>
      </c>
      <c r="N645" s="18">
        <f>1600000+2700000</f>
        <v>4300000</v>
      </c>
      <c r="O645" s="22" t="s">
        <v>1513</v>
      </c>
      <c r="Q645" s="13">
        <v>6641</v>
      </c>
      <c r="R645" s="23" t="s">
        <v>26</v>
      </c>
      <c r="S645" s="13" t="s">
        <v>695</v>
      </c>
      <c r="T645" s="13" t="s">
        <v>16</v>
      </c>
      <c r="U645" s="17">
        <f>+M645-N645+M935</f>
        <v>91920590</v>
      </c>
    </row>
    <row r="646" spans="1:21" x14ac:dyDescent="0.3">
      <c r="A646" s="13">
        <v>283</v>
      </c>
      <c r="B646" s="13" t="str">
        <f>+VLOOKUP(A646,'[1]PA 2023'!$A$8:$E$84,5)</f>
        <v>Formular e implementar 1 estrategia que fortalezca la democracia participativa (Ley 1757 de 2015).</v>
      </c>
      <c r="C646" s="14">
        <v>2022680010035</v>
      </c>
      <c r="D646" s="14" t="str">
        <f>+VLOOKUP(C646,'[1]PA 2023'!$G$8:$H$84,2,FALSE)</f>
        <v>FORTALECIMIENTO DE LA PARTICIPACIÓN E INCIDENCIA DE LAS EXPRESIONES E INSTITUCIONES DEMOCRÁTICAS JUVENILES DE LA CIUDAD DE BUCARAMANGA</v>
      </c>
      <c r="E646" s="13" t="s">
        <v>1514</v>
      </c>
      <c r="F646" s="15">
        <v>2443</v>
      </c>
      <c r="G646" s="21" t="s">
        <v>43</v>
      </c>
      <c r="H646" s="21" t="s">
        <v>36</v>
      </c>
      <c r="I646" s="13" t="s">
        <v>586</v>
      </c>
      <c r="J646" s="13" t="s">
        <v>1505</v>
      </c>
      <c r="K646" s="16">
        <v>45092</v>
      </c>
      <c r="L646" s="17">
        <v>21000000</v>
      </c>
      <c r="M646" s="17">
        <v>21000000</v>
      </c>
      <c r="N646" s="18">
        <f>1866666.67+3500000+3500000</f>
        <v>8866666.6699999999</v>
      </c>
      <c r="O646" s="22" t="s">
        <v>1515</v>
      </c>
      <c r="Q646" s="13">
        <v>6642</v>
      </c>
      <c r="R646" s="13" t="s">
        <v>1462</v>
      </c>
      <c r="S646" s="13" t="s">
        <v>588</v>
      </c>
      <c r="T646" s="13" t="s">
        <v>16</v>
      </c>
      <c r="U646" s="17">
        <f t="shared" ref="U646:U670" si="23">+M646-N646</f>
        <v>12133333.33</v>
      </c>
    </row>
    <row r="647" spans="1:21" x14ac:dyDescent="0.3">
      <c r="A647" s="13">
        <v>300</v>
      </c>
      <c r="B647" s="13" t="str">
        <f>+VLOOKUP(A647,'[1]PA 2023'!$A$8:$E$84,5)</f>
        <v>Mantener el 100% de los programas que desarrolla la Administración Central.</v>
      </c>
      <c r="C647" s="14">
        <v>2023680010016</v>
      </c>
      <c r="D647" s="14" t="str">
        <f>+VLOOKUP(C647,'[1]PA 2023'!$G$8:$H$84,2,FALSE)</f>
        <v>APOYO A LA GESTIÓN ADMINISTRATIVA Y PROCESOS TRANSVERSALES DE LA SECRETARIA DE DESARROLLO SOCIAL DEL MUNICIPIO DE BUCARAMANGA</v>
      </c>
      <c r="E647" s="13" t="s">
        <v>1516</v>
      </c>
      <c r="F647" s="15">
        <v>2447</v>
      </c>
      <c r="G647" s="22" t="s">
        <v>35</v>
      </c>
      <c r="H647" s="21" t="s">
        <v>36</v>
      </c>
      <c r="I647" s="13" t="s">
        <v>247</v>
      </c>
      <c r="J647" s="13" t="s">
        <v>1388</v>
      </c>
      <c r="K647" s="16">
        <v>45092</v>
      </c>
      <c r="L647" s="17">
        <v>18000000</v>
      </c>
      <c r="M647" s="17">
        <v>18000000</v>
      </c>
      <c r="N647" s="18">
        <f>1600000+3000000+3000000</f>
        <v>7600000</v>
      </c>
      <c r="O647" s="22" t="s">
        <v>1517</v>
      </c>
      <c r="Q647" s="13">
        <v>6643</v>
      </c>
      <c r="R647" s="13" t="s">
        <v>1390</v>
      </c>
      <c r="S647" s="13" t="s">
        <v>249</v>
      </c>
      <c r="T647" s="13" t="s">
        <v>16</v>
      </c>
      <c r="U647" s="17">
        <f t="shared" si="23"/>
        <v>10400000</v>
      </c>
    </row>
    <row r="648" spans="1:21" x14ac:dyDescent="0.3">
      <c r="A648" s="13">
        <v>283</v>
      </c>
      <c r="B648" s="13" t="str">
        <f>+VLOOKUP(A648,'[1]PA 2023'!$A$8:$E$84,5)</f>
        <v>Formular e implementar 1 estrategia que fortalezca la democracia participativa (Ley 1757 de 2015).</v>
      </c>
      <c r="C648" s="14">
        <v>2022680010029</v>
      </c>
      <c r="D648" s="14" t="str">
        <f>+VLOOKUP(C648,'[1]PA 2023'!$G$8:$H$84,2,FALSE)</f>
        <v>FORTALECIMIENTO DE LA PARTICIPACIÓN CIUDADANA EN EL MUNICIPIO DE BUCARAMANGA</v>
      </c>
      <c r="E648" s="13" t="s">
        <v>1518</v>
      </c>
      <c r="F648" s="15">
        <v>2468</v>
      </c>
      <c r="G648" s="21" t="s">
        <v>43</v>
      </c>
      <c r="H648" s="21" t="s">
        <v>36</v>
      </c>
      <c r="I648" s="13" t="s">
        <v>590</v>
      </c>
      <c r="J648" s="13" t="s">
        <v>1505</v>
      </c>
      <c r="K648" s="16">
        <v>45092</v>
      </c>
      <c r="L648" s="17">
        <v>24000000</v>
      </c>
      <c r="M648" s="17">
        <v>24000000</v>
      </c>
      <c r="N648" s="18">
        <f>2133333.33+4000000+4000000</f>
        <v>10133333.33</v>
      </c>
      <c r="O648" s="22" t="s">
        <v>1519</v>
      </c>
      <c r="Q648" s="13">
        <v>6644</v>
      </c>
      <c r="R648" s="13" t="s">
        <v>1462</v>
      </c>
      <c r="S648" s="13" t="s">
        <v>592</v>
      </c>
      <c r="T648" s="13" t="s">
        <v>16</v>
      </c>
      <c r="U648" s="17">
        <f t="shared" si="23"/>
        <v>13866666.67</v>
      </c>
    </row>
    <row r="649" spans="1:21" x14ac:dyDescent="0.3">
      <c r="A649" s="13">
        <v>93</v>
      </c>
      <c r="B649" s="13" t="str">
        <f>+VLOOKUP(A649,'[1]PA 2023'!$A$8:$E$84,5)</f>
        <v>Mantener en funcionamiento los 3 Centros Vida con la prestacion de servicios integrales y/o dotacion de los mismos cumpliendo con la oferta institucional.</v>
      </c>
      <c r="C649" s="14">
        <v>2020680010040</v>
      </c>
      <c r="D649" s="14" t="str">
        <f>+VLOOKUP(C649,'[1]PA 2023'!$G$8:$H$84,2,FALSE)</f>
        <v>IMPLEMENTACIÓN DE ACCIONES TENDIENTES A MEJORAR LAS CONDICIONES DE LOS ADULTOS MAYORES DEL MUNICIPIO DE BUCARAMANGA</v>
      </c>
      <c r="E649" s="13" t="s">
        <v>1520</v>
      </c>
      <c r="F649" s="15">
        <v>2467</v>
      </c>
      <c r="G649" s="21" t="s">
        <v>35</v>
      </c>
      <c r="H649" s="21" t="s">
        <v>36</v>
      </c>
      <c r="I649" s="13" t="s">
        <v>602</v>
      </c>
      <c r="J649" s="13" t="s">
        <v>574</v>
      </c>
      <c r="K649" s="16">
        <v>45092</v>
      </c>
      <c r="L649" s="17">
        <v>20000000</v>
      </c>
      <c r="M649" s="17">
        <v>20000000</v>
      </c>
      <c r="N649" s="18">
        <f>2133333.33+4000000+4000000</f>
        <v>10133333.33</v>
      </c>
      <c r="O649" s="22" t="s">
        <v>1521</v>
      </c>
      <c r="Q649" s="13">
        <v>6645</v>
      </c>
      <c r="R649" s="13" t="s">
        <v>26</v>
      </c>
      <c r="S649" s="13" t="s">
        <v>604</v>
      </c>
      <c r="T649" s="13" t="s">
        <v>16</v>
      </c>
      <c r="U649" s="17">
        <f t="shared" si="23"/>
        <v>9866666.6699999999</v>
      </c>
    </row>
    <row r="650" spans="1:21" x14ac:dyDescent="0.3">
      <c r="A650" s="13">
        <v>102</v>
      </c>
      <c r="B650" s="13" t="str">
        <f>+VLOOKUP(A650,'[1]PA 2023'!$A$8:$E$84,5)</f>
        <v>Mantener y fortalecer la ruta de atención a víctimas de acoso sexual y violencia de género a través redes comunitarias de prevención en zonas priorizadas del área rural y urbana de la ciudad y consolidación de alianzas con otras entidades.</v>
      </c>
      <c r="C650" s="14">
        <v>2023680010015</v>
      </c>
      <c r="D650" s="14" t="str">
        <f>+VLOOKUP(C650,'[1]PA 2023'!$G$8:$H$84,2,FALSE)</f>
        <v>FORTALECIMIENTO DE ACCIONES ORIENTADAS AL CIERRE DE BRECHAS DE GÉNERO PARA MUJERES Y POBLACIÓN CON ORIENTACIONES SEXUALES E IDENTIDADES DE GÉNERO DIVERSAS DEL MUNICIPIO DE BUCARAMANGA</v>
      </c>
      <c r="E650" s="13" t="s">
        <v>1522</v>
      </c>
      <c r="F650" s="15">
        <v>2465</v>
      </c>
      <c r="G650" s="21" t="s">
        <v>43</v>
      </c>
      <c r="H650" s="21" t="s">
        <v>36</v>
      </c>
      <c r="I650" s="13" t="s">
        <v>483</v>
      </c>
      <c r="J650" s="13" t="s">
        <v>1488</v>
      </c>
      <c r="K650" s="16">
        <v>45092</v>
      </c>
      <c r="L650" s="17">
        <v>22500000</v>
      </c>
      <c r="M650" s="17">
        <v>22500000</v>
      </c>
      <c r="N650" s="18">
        <f>2400000+4500000+4500000</f>
        <v>11400000</v>
      </c>
      <c r="O650" s="22" t="s">
        <v>1523</v>
      </c>
      <c r="Q650" s="13">
        <v>6646</v>
      </c>
      <c r="R650" s="13" t="s">
        <v>1490</v>
      </c>
      <c r="S650" s="13" t="s">
        <v>485</v>
      </c>
      <c r="T650" s="13" t="s">
        <v>16</v>
      </c>
      <c r="U650" s="17">
        <f t="shared" si="23"/>
        <v>11100000</v>
      </c>
    </row>
    <row r="651" spans="1:21" x14ac:dyDescent="0.3">
      <c r="A651" s="13">
        <v>99</v>
      </c>
      <c r="B651" s="13" t="str">
        <f>+VLOOKUP(A651,'[1]PA 2023'!$A$8:$E$84,5)</f>
        <v>Formular e implementar 1 estrategia para brindar asistencia social a la población afectada por las diferentes emergencias y particularmente COVID-19.</v>
      </c>
      <c r="C651" s="14">
        <v>2022680010036</v>
      </c>
      <c r="D651" s="14" t="str">
        <f>+VLOOKUP(C651,'[1]PA 2023'!$G$8:$H$84,2,FALSE)</f>
        <v>IMPLEMENTACIÓN DE ACCIONES DE ASISTENCIA SOCIAL ORIENTADAS A LA POBLACIÓN AFECTADA POR LAS DIFERENTES EMERGENCIAS SOCIALES, NATURALES, SANITARIAS ANTRÓPICAS O EN SITUACIÓN DE VULNERABILIDAD EN EL MUNICIPIO DE BUCARAMANGA</v>
      </c>
      <c r="E651" s="13" t="s">
        <v>536</v>
      </c>
      <c r="F651" s="15">
        <v>2451</v>
      </c>
      <c r="G651" s="21" t="s">
        <v>43</v>
      </c>
      <c r="H651" s="21" t="s">
        <v>36</v>
      </c>
      <c r="I651" s="13" t="s">
        <v>1073</v>
      </c>
      <c r="J651" s="13" t="s">
        <v>538</v>
      </c>
      <c r="K651" s="16">
        <v>45092</v>
      </c>
      <c r="L651" s="17">
        <v>12000000</v>
      </c>
      <c r="M651" s="17">
        <v>12000000</v>
      </c>
      <c r="N651" s="18">
        <f>1066666.67+2000000+2000000</f>
        <v>5066666.67</v>
      </c>
      <c r="O651" s="22" t="s">
        <v>1524</v>
      </c>
      <c r="Q651" s="13">
        <v>6647</v>
      </c>
      <c r="R651" s="13" t="s">
        <v>540</v>
      </c>
      <c r="S651" s="13" t="s">
        <v>1075</v>
      </c>
      <c r="T651" s="13" t="s">
        <v>16</v>
      </c>
      <c r="U651" s="17">
        <f t="shared" si="23"/>
        <v>6933333.3300000001</v>
      </c>
    </row>
    <row r="652" spans="1:21" x14ac:dyDescent="0.3">
      <c r="A652" s="13">
        <v>78</v>
      </c>
      <c r="B652" s="13" t="str">
        <f>+VLOOKUP(A652,'[1]PA 2023'!$A$8:$E$84,5)</f>
        <v>Formular e implementar 1 ruta de atención integral para niños, niñas, adolescentes refugiados y migrantes y sus familias.</v>
      </c>
      <c r="C652" s="14">
        <v>2022680010056</v>
      </c>
      <c r="D652" s="14" t="str">
        <f>+VLOOKUP(C652,'[1]PA 2023'!$G$8:$H$84,2,FALSE)</f>
        <v>APOYO EN LOS PROCESOS DE ATENCIÓN INTEGRAL DE LOS NIÑOS Y NIÑAS EN EL ESPACIO DE CUIDADO Y ALBERGUE "CASA BÚHO" EN EL MUNICIPIO DE BUCARAMANGA</v>
      </c>
      <c r="E652" s="13" t="s">
        <v>1525</v>
      </c>
      <c r="F652" s="15" t="s">
        <v>22</v>
      </c>
      <c r="G652" s="22" t="s">
        <v>23</v>
      </c>
      <c r="H652" s="21" t="s">
        <v>23</v>
      </c>
      <c r="I652" s="13" t="s">
        <v>29</v>
      </c>
      <c r="J652" s="13" t="s">
        <v>970</v>
      </c>
      <c r="K652" s="16">
        <v>45092</v>
      </c>
      <c r="L652" s="17">
        <v>20120</v>
      </c>
      <c r="M652" s="17">
        <v>20120</v>
      </c>
      <c r="N652" s="18">
        <v>20120</v>
      </c>
      <c r="O652" s="15" t="s">
        <v>23</v>
      </c>
      <c r="Q652" s="13">
        <v>6679</v>
      </c>
      <c r="R652" s="13" t="s">
        <v>170</v>
      </c>
      <c r="S652" s="13" t="s">
        <v>30</v>
      </c>
      <c r="T652" s="13" t="s">
        <v>16</v>
      </c>
      <c r="U652" s="17">
        <f t="shared" si="23"/>
        <v>0</v>
      </c>
    </row>
    <row r="653" spans="1:21" x14ac:dyDescent="0.3">
      <c r="A653" s="13">
        <v>285</v>
      </c>
      <c r="B653" s="13" t="str">
        <f>+VLOOKUP(A653,'[1]PA 2023'!$A$8:$E$84,5)</f>
        <v>Mantener en funcionamiento el 100% de los salones comunales que hacen parte del programa Ágoras.</v>
      </c>
      <c r="C653" s="14">
        <v>2022680010029</v>
      </c>
      <c r="D653" s="14" t="str">
        <f>+VLOOKUP(C653,'[1]PA 2023'!$G$8:$H$84,2,FALSE)</f>
        <v>FORTALECIMIENTO DE LA PARTICIPACIÓN CIUDADANA EN EL MUNICIPIO DE BUCARAMANGA</v>
      </c>
      <c r="E653" s="13" t="s">
        <v>1526</v>
      </c>
      <c r="F653" s="15" t="s">
        <v>22</v>
      </c>
      <c r="G653" s="22" t="s">
        <v>23</v>
      </c>
      <c r="H653" s="21" t="s">
        <v>23</v>
      </c>
      <c r="I653" s="13" t="s">
        <v>904</v>
      </c>
      <c r="J653" s="13" t="s">
        <v>1130</v>
      </c>
      <c r="K653" s="16">
        <v>45092</v>
      </c>
      <c r="L653" s="17">
        <v>500002</v>
      </c>
      <c r="M653" s="17">
        <v>500002</v>
      </c>
      <c r="N653" s="18">
        <v>500002</v>
      </c>
      <c r="O653" s="15" t="s">
        <v>23</v>
      </c>
      <c r="Q653" s="13">
        <v>6680</v>
      </c>
      <c r="R653" s="13" t="s">
        <v>134</v>
      </c>
      <c r="S653" s="13" t="s">
        <v>905</v>
      </c>
      <c r="T653" s="13" t="s">
        <v>16</v>
      </c>
      <c r="U653" s="17">
        <f t="shared" si="23"/>
        <v>0</v>
      </c>
    </row>
    <row r="654" spans="1:21" x14ac:dyDescent="0.3">
      <c r="A654" s="13">
        <v>285</v>
      </c>
      <c r="B654" s="13" t="str">
        <f>+VLOOKUP(A654,'[1]PA 2023'!$A$8:$E$84,5)</f>
        <v>Mantener en funcionamiento el 100% de los salones comunales que hacen parte del programa Ágoras.</v>
      </c>
      <c r="C654" s="14">
        <v>2022680010029</v>
      </c>
      <c r="D654" s="14" t="str">
        <f>+VLOOKUP(C654,'[1]PA 2023'!$G$8:$H$84,2,FALSE)</f>
        <v>FORTALECIMIENTO DE LA PARTICIPACIÓN CIUDADANA EN EL MUNICIPIO DE BUCARAMANGA</v>
      </c>
      <c r="E654" s="13" t="s">
        <v>1527</v>
      </c>
      <c r="F654" s="15" t="s">
        <v>22</v>
      </c>
      <c r="G654" s="22" t="s">
        <v>23</v>
      </c>
      <c r="H654" s="21" t="s">
        <v>23</v>
      </c>
      <c r="I654" s="13" t="s">
        <v>901</v>
      </c>
      <c r="J654" s="13" t="s">
        <v>1130</v>
      </c>
      <c r="K654" s="16">
        <v>45092</v>
      </c>
      <c r="L654" s="17">
        <v>84585</v>
      </c>
      <c r="M654" s="17">
        <v>84585</v>
      </c>
      <c r="N654" s="18">
        <v>84585</v>
      </c>
      <c r="O654" s="15" t="s">
        <v>23</v>
      </c>
      <c r="Q654" s="13">
        <v>6681</v>
      </c>
      <c r="R654" s="13" t="s">
        <v>134</v>
      </c>
      <c r="S654" s="13" t="s">
        <v>902</v>
      </c>
      <c r="T654" s="13" t="s">
        <v>16</v>
      </c>
      <c r="U654" s="17">
        <f t="shared" si="23"/>
        <v>0</v>
      </c>
    </row>
    <row r="655" spans="1:21" x14ac:dyDescent="0.3">
      <c r="A655" s="13">
        <v>93</v>
      </c>
      <c r="B655" s="13" t="str">
        <f>+VLOOKUP(A655,'[1]PA 2023'!$A$8:$E$84,5)</f>
        <v>Mantener en funcionamiento los 3 Centros Vida con la prestacion de servicios integrales y/o dotacion de los mismos cumpliendo con la oferta institucional.</v>
      </c>
      <c r="C655" s="14">
        <v>2020680010040</v>
      </c>
      <c r="D655" s="14" t="str">
        <f>+VLOOKUP(C655,'[1]PA 2023'!$G$8:$H$84,2,FALSE)</f>
        <v>IMPLEMENTACIÓN DE ACCIONES TENDIENTES A MEJORAR LAS CONDICIONES DE LOS ADULTOS MAYORES DEL MUNICIPIO DE BUCARAMANGA</v>
      </c>
      <c r="E655" s="13" t="s">
        <v>1528</v>
      </c>
      <c r="F655" s="15" t="s">
        <v>22</v>
      </c>
      <c r="G655" s="22" t="s">
        <v>23</v>
      </c>
      <c r="H655" s="21" t="s">
        <v>23</v>
      </c>
      <c r="I655" s="13" t="s">
        <v>29</v>
      </c>
      <c r="J655" s="13" t="s">
        <v>25</v>
      </c>
      <c r="K655" s="16">
        <v>45092</v>
      </c>
      <c r="L655" s="17">
        <v>183220</v>
      </c>
      <c r="M655" s="17">
        <v>183220</v>
      </c>
      <c r="N655" s="18">
        <v>183220</v>
      </c>
      <c r="O655" s="15" t="s">
        <v>23</v>
      </c>
      <c r="Q655" s="13">
        <v>6682</v>
      </c>
      <c r="R655" s="13" t="s">
        <v>26</v>
      </c>
      <c r="S655" s="13" t="s">
        <v>30</v>
      </c>
      <c r="T655" s="13" t="s">
        <v>16</v>
      </c>
      <c r="U655" s="17">
        <f t="shared" si="23"/>
        <v>0</v>
      </c>
    </row>
    <row r="656" spans="1:21" x14ac:dyDescent="0.3">
      <c r="A656" s="13">
        <v>93</v>
      </c>
      <c r="B656" s="13" t="str">
        <f>+VLOOKUP(A656,'[1]PA 2023'!$A$8:$E$84,5)</f>
        <v>Mantener en funcionamiento los 3 Centros Vida con la prestacion de servicios integrales y/o dotacion de los mismos cumpliendo con la oferta institucional.</v>
      </c>
      <c r="C656" s="14">
        <v>2020680010040</v>
      </c>
      <c r="D656" s="14" t="str">
        <f>+VLOOKUP(C656,'[1]PA 2023'!$G$8:$H$84,2,FALSE)</f>
        <v>IMPLEMENTACIÓN DE ACCIONES TENDIENTES A MEJORAR LAS CONDICIONES DE LOS ADULTOS MAYORES DEL MUNICIPIO DE BUCARAMANGA</v>
      </c>
      <c r="E656" s="13" t="s">
        <v>1529</v>
      </c>
      <c r="F656" s="15" t="s">
        <v>22</v>
      </c>
      <c r="G656" s="22" t="s">
        <v>23</v>
      </c>
      <c r="H656" s="21" t="s">
        <v>23</v>
      </c>
      <c r="I656" s="13" t="s">
        <v>32</v>
      </c>
      <c r="J656" s="13" t="s">
        <v>25</v>
      </c>
      <c r="K656" s="16">
        <v>45092</v>
      </c>
      <c r="L656" s="17">
        <v>92650</v>
      </c>
      <c r="M656" s="17">
        <v>92650</v>
      </c>
      <c r="N656" s="18">
        <v>92650</v>
      </c>
      <c r="O656" s="15" t="s">
        <v>23</v>
      </c>
      <c r="Q656" s="13">
        <v>6683</v>
      </c>
      <c r="R656" s="13" t="s">
        <v>26</v>
      </c>
      <c r="S656" s="13" t="s">
        <v>33</v>
      </c>
      <c r="T656" s="13" t="s">
        <v>16</v>
      </c>
      <c r="U656" s="17">
        <f t="shared" si="23"/>
        <v>0</v>
      </c>
    </row>
    <row r="657" spans="1:21" x14ac:dyDescent="0.3">
      <c r="A657" s="13">
        <v>68</v>
      </c>
      <c r="B657" s="13" t="str">
        <f>+VLOOKUP(A657,'[1]PA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57" s="14">
        <v>2022680010056</v>
      </c>
      <c r="D657" s="14" t="str">
        <f>+VLOOKUP(C657,'[1]PA 2023'!$G$8:$H$84,2,FALSE)</f>
        <v>APOYO EN LOS PROCESOS DE ATENCIÓN INTEGRAL DE LOS NIÑOS Y NIÑAS EN EL ESPACIO DE CUIDADO Y ALBERGUE "CASA BÚHO" EN EL MUNICIPIO DE BUCARAMANGA</v>
      </c>
      <c r="E657" s="13" t="s">
        <v>1530</v>
      </c>
      <c r="F657" s="15">
        <v>2473</v>
      </c>
      <c r="G657" s="21" t="s">
        <v>43</v>
      </c>
      <c r="H657" s="21" t="s">
        <v>36</v>
      </c>
      <c r="I657" s="13" t="s">
        <v>316</v>
      </c>
      <c r="J657" s="13" t="s">
        <v>1531</v>
      </c>
      <c r="K657" s="16">
        <v>45092</v>
      </c>
      <c r="L657" s="17">
        <v>15000000</v>
      </c>
      <c r="M657" s="17">
        <v>15000000</v>
      </c>
      <c r="N657" s="18">
        <f>1500000+3000000+3000000</f>
        <v>7500000</v>
      </c>
      <c r="O657" s="22" t="s">
        <v>1532</v>
      </c>
      <c r="Q657" s="13">
        <v>6696</v>
      </c>
      <c r="R657" s="13" t="s">
        <v>1533</v>
      </c>
      <c r="S657" s="13" t="s">
        <v>318</v>
      </c>
      <c r="T657" s="13" t="s">
        <v>16</v>
      </c>
      <c r="U657" s="17">
        <f t="shared" si="23"/>
        <v>7500000</v>
      </c>
    </row>
    <row r="658" spans="1:21" x14ac:dyDescent="0.3">
      <c r="A658" s="13">
        <v>71</v>
      </c>
      <c r="B658" s="13" t="str">
        <f>+VLOOKUP(A658,'[1]PA 2023'!$A$8:$E$84,5)</f>
        <v>Formular e implementar 1 estrategia de corresponsabilidad en la garantía de derechos, la prevención de vulneración, amenaza o riesgo en el ámbito familiar, comunitario e institucional.</v>
      </c>
      <c r="C658" s="14">
        <v>2022680010056</v>
      </c>
      <c r="D658" s="14" t="str">
        <f>+VLOOKUP(C658,'[1]PA 2023'!$G$8:$H$84,2,FALSE)</f>
        <v>APOYO EN LOS PROCESOS DE ATENCIÓN INTEGRAL DE LOS NIÑOS Y NIÑAS EN EL ESPACIO DE CUIDADO Y ALBERGUE "CASA BÚHO" EN EL MUNICIPIO DE BUCARAMANGA</v>
      </c>
      <c r="E658" s="13" t="s">
        <v>166</v>
      </c>
      <c r="F658" s="15">
        <v>2472</v>
      </c>
      <c r="G658" s="21" t="s">
        <v>43</v>
      </c>
      <c r="H658" s="21" t="s">
        <v>36</v>
      </c>
      <c r="I658" s="13" t="s">
        <v>167</v>
      </c>
      <c r="J658" s="13" t="s">
        <v>1531</v>
      </c>
      <c r="K658" s="16">
        <v>45092</v>
      </c>
      <c r="L658" s="17">
        <v>25000000</v>
      </c>
      <c r="M658" s="17">
        <v>25000000</v>
      </c>
      <c r="N658" s="18">
        <f>2500000+5000000+5000000</f>
        <v>12500000</v>
      </c>
      <c r="O658" s="22" t="s">
        <v>1534</v>
      </c>
      <c r="Q658" s="13">
        <v>6697</v>
      </c>
      <c r="R658" s="13" t="s">
        <v>1533</v>
      </c>
      <c r="S658" s="13" t="s">
        <v>171</v>
      </c>
      <c r="T658" s="13" t="s">
        <v>16</v>
      </c>
      <c r="U658" s="17">
        <f t="shared" si="23"/>
        <v>12500000</v>
      </c>
    </row>
    <row r="659" spans="1:21" x14ac:dyDescent="0.3">
      <c r="A659" s="13">
        <v>106</v>
      </c>
      <c r="B659" s="13" t="str">
        <f>+VLOOKUP(A659,'[1]PA 2023'!$A$8:$E$84,5)</f>
        <v>Actualizar e implementar la Política Pública de Mujer.</v>
      </c>
      <c r="C659" s="14">
        <v>2023680010015</v>
      </c>
      <c r="D659" s="14" t="str">
        <f>+VLOOKUP(C659,'[1]PA 2023'!$G$8:$H$84,2,FALSE)</f>
        <v>FORTALECIMIENTO DE ACCIONES ORIENTADAS AL CIERRE DE BRECHAS DE GÉNERO PARA MUJERES Y POBLACIÓN CON ORIENTACIONES SEXUALES E IDENTIDADES DE GÉNERO DIVERSAS DEL MUNICIPIO DE BUCARAMANGA</v>
      </c>
      <c r="E659" s="13" t="s">
        <v>1535</v>
      </c>
      <c r="F659" s="15">
        <v>2470</v>
      </c>
      <c r="G659" s="21" t="s">
        <v>43</v>
      </c>
      <c r="H659" s="21" t="s">
        <v>36</v>
      </c>
      <c r="I659" s="13" t="s">
        <v>377</v>
      </c>
      <c r="J659" s="13" t="s">
        <v>1488</v>
      </c>
      <c r="K659" s="16">
        <v>45092</v>
      </c>
      <c r="L659" s="17">
        <v>17500000</v>
      </c>
      <c r="M659" s="17">
        <v>17500000</v>
      </c>
      <c r="N659" s="18">
        <f>1866666.67+3500000+3500000</f>
        <v>8866666.6699999999</v>
      </c>
      <c r="O659" s="22" t="s">
        <v>1521</v>
      </c>
      <c r="Q659" s="13">
        <v>6698</v>
      </c>
      <c r="R659" s="13" t="s">
        <v>1490</v>
      </c>
      <c r="S659" s="13" t="s">
        <v>381</v>
      </c>
      <c r="T659" s="13" t="s">
        <v>16</v>
      </c>
      <c r="U659" s="17">
        <f t="shared" si="23"/>
        <v>8633333.3300000001</v>
      </c>
    </row>
    <row r="660" spans="1:21" x14ac:dyDescent="0.3">
      <c r="A660" s="13">
        <v>104</v>
      </c>
      <c r="B660" s="13" t="str">
        <f>+VLOOKUP(A660,'[1]PA 2023'!$A$8:$E$84,5)</f>
        <v>Mantener la estrategia de prevención con hombres de contextos públicos y privados mediante procesos de intervención colectiva en torno a la resignificación crítica de la masculinidad hegemónica y tradicional.</v>
      </c>
      <c r="C660" s="14">
        <v>2023680010015</v>
      </c>
      <c r="D660" s="14" t="str">
        <f>+VLOOKUP(C660,'[1]PA 2023'!$G$8:$H$84,2,FALSE)</f>
        <v>FORTALECIMIENTO DE ACCIONES ORIENTADAS AL CIERRE DE BRECHAS DE GÉNERO PARA MUJERES Y POBLACIÓN CON ORIENTACIONES SEXUALES E IDENTIDADES DE GÉNERO DIVERSAS DEL MUNICIPIO DE BUCARAMANGA</v>
      </c>
      <c r="E660" s="13" t="s">
        <v>1536</v>
      </c>
      <c r="F660" s="15">
        <v>2493</v>
      </c>
      <c r="G660" s="21" t="s">
        <v>43</v>
      </c>
      <c r="H660" s="21" t="s">
        <v>36</v>
      </c>
      <c r="I660" s="13" t="s">
        <v>405</v>
      </c>
      <c r="J660" s="13" t="s">
        <v>1488</v>
      </c>
      <c r="K660" s="16">
        <v>45092</v>
      </c>
      <c r="L660" s="17">
        <v>30000000</v>
      </c>
      <c r="M660" s="17">
        <v>30000000</v>
      </c>
      <c r="N660" s="18">
        <f>3000000+6000000+6000000</f>
        <v>15000000</v>
      </c>
      <c r="O660" s="22" t="s">
        <v>1537</v>
      </c>
      <c r="Q660" s="13">
        <v>6717</v>
      </c>
      <c r="R660" s="13" t="s">
        <v>1490</v>
      </c>
      <c r="S660" s="13" t="s">
        <v>407</v>
      </c>
      <c r="T660" s="13" t="s">
        <v>16</v>
      </c>
      <c r="U660" s="17">
        <f t="shared" si="23"/>
        <v>15000000</v>
      </c>
    </row>
    <row r="661" spans="1:21" x14ac:dyDescent="0.3">
      <c r="A661" s="13">
        <v>78</v>
      </c>
      <c r="B661" s="13" t="str">
        <f>+VLOOKUP(A661,'[1]PA 2023'!$A$8:$E$84,5)</f>
        <v>Formular e implementar 1 ruta de atención integral para niños, niñas, adolescentes refugiados y migrantes y sus familias.</v>
      </c>
      <c r="C661" s="14">
        <v>2022680010056</v>
      </c>
      <c r="D661" s="14" t="str">
        <f>+VLOOKUP(C661,'[1]PA 2023'!$G$8:$H$84,2,FALSE)</f>
        <v>APOYO EN LOS PROCESOS DE ATENCIÓN INTEGRAL DE LOS NIÑOS Y NIÑAS EN EL ESPACIO DE CUIDADO Y ALBERGUE "CASA BÚHO" EN EL MUNICIPIO DE BUCARAMANGA</v>
      </c>
      <c r="E661" s="13" t="s">
        <v>362</v>
      </c>
      <c r="F661" s="15">
        <v>2485</v>
      </c>
      <c r="G661" s="21" t="s">
        <v>43</v>
      </c>
      <c r="H661" s="21" t="s">
        <v>36</v>
      </c>
      <c r="I661" s="13" t="s">
        <v>363</v>
      </c>
      <c r="J661" s="13" t="s">
        <v>1531</v>
      </c>
      <c r="K661" s="16">
        <v>45092</v>
      </c>
      <c r="L661" s="17">
        <v>15000000</v>
      </c>
      <c r="M661" s="17">
        <v>15000000</v>
      </c>
      <c r="N661" s="18">
        <f>1500000+3000000+3000000</f>
        <v>7500000</v>
      </c>
      <c r="O661" s="22" t="s">
        <v>1538</v>
      </c>
      <c r="Q661" s="13">
        <v>6718</v>
      </c>
      <c r="R661" s="13" t="s">
        <v>1533</v>
      </c>
      <c r="S661" s="13" t="s">
        <v>365</v>
      </c>
      <c r="T661" s="13" t="s">
        <v>16</v>
      </c>
      <c r="U661" s="17">
        <f t="shared" si="23"/>
        <v>7500000</v>
      </c>
    </row>
    <row r="662" spans="1:21" x14ac:dyDescent="0.3">
      <c r="A662" s="13">
        <v>68</v>
      </c>
      <c r="B662" s="13" t="str">
        <f>+VLOOKUP(A662,'[1]PA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62" s="14">
        <v>2022680010056</v>
      </c>
      <c r="D662" s="14" t="str">
        <f>+VLOOKUP(C662,'[1]PA 2023'!$G$8:$H$84,2,FALSE)</f>
        <v>APOYO EN LOS PROCESOS DE ATENCIÓN INTEGRAL DE LOS NIÑOS Y NIÑAS EN EL ESPACIO DE CUIDADO Y ALBERGUE "CASA BÚHO" EN EL MUNICIPIO DE BUCARAMANGA</v>
      </c>
      <c r="E662" s="13" t="s">
        <v>270</v>
      </c>
      <c r="F662" s="15">
        <v>2490</v>
      </c>
      <c r="G662" s="21" t="s">
        <v>43</v>
      </c>
      <c r="H662" s="21" t="s">
        <v>36</v>
      </c>
      <c r="I662" s="13" t="s">
        <v>267</v>
      </c>
      <c r="J662" s="13" t="s">
        <v>1531</v>
      </c>
      <c r="K662" s="16">
        <v>45092</v>
      </c>
      <c r="L662" s="17">
        <v>15000000</v>
      </c>
      <c r="M662" s="17">
        <v>15000000</v>
      </c>
      <c r="N662" s="18">
        <f>1500000+3000000+3000000</f>
        <v>7500000</v>
      </c>
      <c r="O662" s="22" t="s">
        <v>1539</v>
      </c>
      <c r="Q662" s="13">
        <v>6719</v>
      </c>
      <c r="R662" s="13" t="s">
        <v>1533</v>
      </c>
      <c r="S662" s="13" t="s">
        <v>269</v>
      </c>
      <c r="T662" s="13" t="s">
        <v>16</v>
      </c>
      <c r="U662" s="17">
        <f t="shared" si="23"/>
        <v>7500000</v>
      </c>
    </row>
    <row r="663" spans="1:21" x14ac:dyDescent="0.3">
      <c r="A663" s="13">
        <v>107</v>
      </c>
      <c r="B663" s="13" t="str">
        <f>+VLOOKUP(A663,'[1]PA 2023'!$A$8:$E$84,5)</f>
        <v>Formular e implementar 1 política pública para la población con orientación sexual e identidad de género diversa.</v>
      </c>
      <c r="C663" s="14">
        <v>2023680010015</v>
      </c>
      <c r="D663" s="14" t="str">
        <f>+VLOOKUP(C663,'[1]PA 2023'!$G$8:$H$84,2,FALSE)</f>
        <v>FORTALECIMIENTO DE ACCIONES ORIENTADAS AL CIERRE DE BRECHAS DE GÉNERO PARA MUJERES Y POBLACIÓN CON ORIENTACIONES SEXUALES E IDENTIDADES DE GÉNERO DIVERSAS DEL MUNICIPIO DE BUCARAMANGA</v>
      </c>
      <c r="E663" s="13" t="s">
        <v>1540</v>
      </c>
      <c r="F663" s="15">
        <v>2471</v>
      </c>
      <c r="G663" s="21" t="s">
        <v>43</v>
      </c>
      <c r="H663" s="21" t="s">
        <v>36</v>
      </c>
      <c r="I663" s="13" t="s">
        <v>1151</v>
      </c>
      <c r="J663" s="13" t="s">
        <v>1488</v>
      </c>
      <c r="K663" s="16">
        <v>45092</v>
      </c>
      <c r="L663" s="17">
        <v>15000000</v>
      </c>
      <c r="M663" s="17">
        <v>15000000</v>
      </c>
      <c r="N663" s="18">
        <f>1600000+3000000+3000000</f>
        <v>7600000</v>
      </c>
      <c r="O663" s="22" t="s">
        <v>1541</v>
      </c>
      <c r="Q663" s="13">
        <v>6720</v>
      </c>
      <c r="R663" s="13" t="s">
        <v>1490</v>
      </c>
      <c r="S663" s="13" t="s">
        <v>1153</v>
      </c>
      <c r="T663" s="13" t="s">
        <v>16</v>
      </c>
      <c r="U663" s="17">
        <f t="shared" si="23"/>
        <v>7400000</v>
      </c>
    </row>
    <row r="664" spans="1:21" x14ac:dyDescent="0.3">
      <c r="A664" s="13">
        <v>99</v>
      </c>
      <c r="B664" s="13" t="str">
        <f>+VLOOKUP(A664,'[1]PA 2023'!$A$8:$E$84,5)</f>
        <v>Formular e implementar 1 estrategia para brindar asistencia social a la población afectada por las diferentes emergencias y particularmente COVID-19.</v>
      </c>
      <c r="C664" s="14">
        <v>2022680010036</v>
      </c>
      <c r="D664" s="14" t="str">
        <f>+VLOOKUP(C664,'[1]PA 2023'!$G$8:$H$84,2,FALSE)</f>
        <v>IMPLEMENTACIÓN DE ACCIONES DE ASISTENCIA SOCIAL ORIENTADAS A LA POBLACIÓN AFECTADA POR LAS DIFERENTES EMERGENCIAS SOCIALES, NATURALES, SANITARIAS ANTRÓPICAS O EN SITUACIÓN DE VULNERABILIDAD EN EL MUNICIPIO DE BUCARAMANGA</v>
      </c>
      <c r="E664" s="13" t="s">
        <v>536</v>
      </c>
      <c r="F664" s="15">
        <v>2483</v>
      </c>
      <c r="G664" s="21" t="s">
        <v>43</v>
      </c>
      <c r="H664" s="21" t="s">
        <v>36</v>
      </c>
      <c r="I664" s="13" t="s">
        <v>546</v>
      </c>
      <c r="J664" s="13" t="s">
        <v>538</v>
      </c>
      <c r="K664" s="16">
        <v>45092</v>
      </c>
      <c r="L664" s="17">
        <v>12000000</v>
      </c>
      <c r="M664" s="17">
        <v>12000000</v>
      </c>
      <c r="N664" s="18">
        <f>1000000+2000000+2000000</f>
        <v>5000000</v>
      </c>
      <c r="O664" s="22" t="s">
        <v>1542</v>
      </c>
      <c r="Q664" s="13">
        <v>6721</v>
      </c>
      <c r="R664" s="13" t="s">
        <v>540</v>
      </c>
      <c r="S664" s="13" t="s">
        <v>548</v>
      </c>
      <c r="T664" s="13" t="s">
        <v>16</v>
      </c>
      <c r="U664" s="17">
        <f t="shared" si="23"/>
        <v>7000000</v>
      </c>
    </row>
    <row r="665" spans="1:21" x14ac:dyDescent="0.3">
      <c r="A665" s="13">
        <v>93</v>
      </c>
      <c r="B665" s="13" t="str">
        <f>+VLOOKUP(A665,'[1]PA 2023'!$A$8:$E$84,5)</f>
        <v>Mantener en funcionamiento los 3 Centros Vida con la prestacion de servicios integrales y/o dotacion de los mismos cumpliendo con la oferta institucional.</v>
      </c>
      <c r="C665" s="14">
        <v>2020680010040</v>
      </c>
      <c r="D665" s="14" t="str">
        <f>+VLOOKUP(C665,'[1]PA 2023'!$G$8:$H$84,2,FALSE)</f>
        <v>IMPLEMENTACIÓN DE ACCIONES TENDIENTES A MEJORAR LAS CONDICIONES DE LOS ADULTOS MAYORES DEL MUNICIPIO DE BUCARAMANGA</v>
      </c>
      <c r="E665" s="13" t="s">
        <v>633</v>
      </c>
      <c r="F665" s="15">
        <v>2481</v>
      </c>
      <c r="G665" s="21" t="s">
        <v>35</v>
      </c>
      <c r="H665" s="21" t="s">
        <v>36</v>
      </c>
      <c r="I665" s="13" t="s">
        <v>634</v>
      </c>
      <c r="J665" s="13" t="s">
        <v>574</v>
      </c>
      <c r="K665" s="16">
        <v>45092</v>
      </c>
      <c r="L665" s="17">
        <v>10000000</v>
      </c>
      <c r="M665" s="17">
        <v>10000000</v>
      </c>
      <c r="N665" s="18">
        <f>1000000+2000000+2000000</f>
        <v>5000000</v>
      </c>
      <c r="O665" s="22" t="s">
        <v>1543</v>
      </c>
      <c r="Q665" s="13">
        <v>6722</v>
      </c>
      <c r="R665" s="13" t="s">
        <v>26</v>
      </c>
      <c r="S665" s="13" t="s">
        <v>636</v>
      </c>
      <c r="T665" s="13" t="s">
        <v>16</v>
      </c>
      <c r="U665" s="17">
        <f t="shared" si="23"/>
        <v>5000000</v>
      </c>
    </row>
    <row r="666" spans="1:21" x14ac:dyDescent="0.3">
      <c r="A666" s="13">
        <v>68</v>
      </c>
      <c r="B666" s="13" t="str">
        <f>+VLOOKUP(A666,'[1]PA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66" s="14">
        <v>2022680010056</v>
      </c>
      <c r="D666" s="14" t="str">
        <f>+VLOOKUP(C666,'[1]PA 2023'!$G$8:$H$84,2,FALSE)</f>
        <v>APOYO EN LOS PROCESOS DE ATENCIÓN INTEGRAL DE LOS NIÑOS Y NIÑAS EN EL ESPACIO DE CUIDADO Y ALBERGUE "CASA BÚHO" EN EL MUNICIPIO DE BUCARAMANGA</v>
      </c>
      <c r="E666" s="13" t="s">
        <v>1544</v>
      </c>
      <c r="F666" s="15">
        <v>2476</v>
      </c>
      <c r="G666" s="21" t="s">
        <v>43</v>
      </c>
      <c r="H666" s="21" t="s">
        <v>36</v>
      </c>
      <c r="I666" s="13" t="s">
        <v>220</v>
      </c>
      <c r="J666" s="13" t="s">
        <v>1531</v>
      </c>
      <c r="K666" s="16">
        <v>45092</v>
      </c>
      <c r="L666" s="17">
        <v>15000000</v>
      </c>
      <c r="M666" s="17">
        <v>15000000</v>
      </c>
      <c r="N666" s="18">
        <f>1500000+2700000+2500000</f>
        <v>6700000</v>
      </c>
      <c r="O666" s="22" t="s">
        <v>1545</v>
      </c>
      <c r="Q666" s="13">
        <v>6723</v>
      </c>
      <c r="R666" s="13" t="s">
        <v>1533</v>
      </c>
      <c r="S666" s="13" t="s">
        <v>222</v>
      </c>
      <c r="T666" s="13" t="s">
        <v>16</v>
      </c>
      <c r="U666" s="17">
        <f t="shared" si="23"/>
        <v>8300000</v>
      </c>
    </row>
    <row r="667" spans="1:21" x14ac:dyDescent="0.3">
      <c r="A667" s="13">
        <v>88</v>
      </c>
      <c r="B667" s="13" t="str">
        <f>+VLOOKUP(A667,'[1]PA 2023'!$A$8:$E$84,5)</f>
        <v>Beneficiar y mantener a 11.000 personas mayores con el programa Colombia Mayor.</v>
      </c>
      <c r="C667" s="14">
        <v>2020680010040</v>
      </c>
      <c r="D667" s="14" t="str">
        <f>+VLOOKUP(C667,'[1]PA 2023'!$G$8:$H$84,2,FALSE)</f>
        <v>IMPLEMENTACIÓN DE ACCIONES TENDIENTES A MEJORAR LAS CONDICIONES DE LOS ADULTOS MAYORES DEL MUNICIPIO DE BUCARAMANGA</v>
      </c>
      <c r="E667" s="13" t="s">
        <v>1546</v>
      </c>
      <c r="F667" s="15">
        <v>2474</v>
      </c>
      <c r="G667" s="21" t="s">
        <v>35</v>
      </c>
      <c r="H667" s="21" t="s">
        <v>36</v>
      </c>
      <c r="I667" s="13" t="s">
        <v>573</v>
      </c>
      <c r="J667" s="13" t="s">
        <v>574</v>
      </c>
      <c r="K667" s="16">
        <v>45092</v>
      </c>
      <c r="L667" s="17">
        <v>11500000</v>
      </c>
      <c r="M667" s="17">
        <v>11500000</v>
      </c>
      <c r="N667" s="18">
        <f>1150000+2300000+2300000</f>
        <v>5750000</v>
      </c>
      <c r="O667" s="22" t="s">
        <v>1547</v>
      </c>
      <c r="Q667" s="13">
        <v>6724</v>
      </c>
      <c r="R667" s="13" t="s">
        <v>26</v>
      </c>
      <c r="S667" s="13" t="s">
        <v>576</v>
      </c>
      <c r="T667" s="13" t="s">
        <v>16</v>
      </c>
      <c r="U667" s="17">
        <f t="shared" si="23"/>
        <v>5750000</v>
      </c>
    </row>
    <row r="668" spans="1:21" x14ac:dyDescent="0.3">
      <c r="A668" s="13">
        <v>68</v>
      </c>
      <c r="B668" s="13" t="str">
        <f>+VLOOKUP(A668,'[1]PA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68" s="14">
        <v>2022680010056</v>
      </c>
      <c r="D668" s="14" t="str">
        <f>+VLOOKUP(C668,'[1]PA 2023'!$G$8:$H$84,2,FALSE)</f>
        <v>APOYO EN LOS PROCESOS DE ATENCIÓN INTEGRAL DE LOS NIÑOS Y NIÑAS EN EL ESPACIO DE CUIDADO Y ALBERGUE "CASA BÚHO" EN EL MUNICIPIO DE BUCARAMANGA</v>
      </c>
      <c r="E668" s="13" t="s">
        <v>330</v>
      </c>
      <c r="F668" s="15">
        <v>2475</v>
      </c>
      <c r="G668" s="21" t="s">
        <v>35</v>
      </c>
      <c r="H668" s="21" t="s">
        <v>36</v>
      </c>
      <c r="I668" s="13" t="s">
        <v>331</v>
      </c>
      <c r="J668" s="13" t="s">
        <v>1531</v>
      </c>
      <c r="K668" s="16">
        <v>45092</v>
      </c>
      <c r="L668" s="17">
        <v>11000000</v>
      </c>
      <c r="M668" s="17">
        <v>11000000</v>
      </c>
      <c r="N668" s="18">
        <f>1100000+2200000+2200000</f>
        <v>5500000</v>
      </c>
      <c r="O668" s="22" t="s">
        <v>1548</v>
      </c>
      <c r="Q668" s="13">
        <v>6725</v>
      </c>
      <c r="R668" s="13" t="s">
        <v>1533</v>
      </c>
      <c r="S668" s="13" t="s">
        <v>333</v>
      </c>
      <c r="T668" s="13" t="s">
        <v>16</v>
      </c>
      <c r="U668" s="17">
        <f t="shared" si="23"/>
        <v>5500000</v>
      </c>
    </row>
    <row r="669" spans="1:21" x14ac:dyDescent="0.3">
      <c r="A669" s="13">
        <v>93</v>
      </c>
      <c r="B669" s="13" t="str">
        <f>+VLOOKUP(A669,'[1]PA 2023'!$A$8:$E$84,5)</f>
        <v>Mantener en funcionamiento los 3 Centros Vida con la prestacion de servicios integrales y/o dotacion de los mismos cumpliendo con la oferta institucional.</v>
      </c>
      <c r="C669" s="14">
        <v>2020680010040</v>
      </c>
      <c r="D669" s="14" t="str">
        <f>+VLOOKUP(C669,'[1]PA 2023'!$G$8:$H$84,2,FALSE)</f>
        <v>IMPLEMENTACIÓN DE ACCIONES TENDIENTES A MEJORAR LAS CONDICIONES DE LOS ADULTOS MAYORES DEL MUNICIPIO DE BUCARAMANGA</v>
      </c>
      <c r="E669" s="13" t="s">
        <v>862</v>
      </c>
      <c r="F669" s="15">
        <v>2484</v>
      </c>
      <c r="G669" s="21" t="s">
        <v>35</v>
      </c>
      <c r="H669" s="21" t="s">
        <v>36</v>
      </c>
      <c r="I669" s="13" t="s">
        <v>863</v>
      </c>
      <c r="J669" s="13" t="s">
        <v>574</v>
      </c>
      <c r="K669" s="16">
        <v>45092</v>
      </c>
      <c r="L669" s="17">
        <v>12500000</v>
      </c>
      <c r="M669" s="17">
        <v>12500000</v>
      </c>
      <c r="N669" s="18">
        <f>1250000+2500000+2500000</f>
        <v>6250000</v>
      </c>
      <c r="O669" s="22" t="s">
        <v>1549</v>
      </c>
      <c r="Q669" s="13">
        <v>6726</v>
      </c>
      <c r="R669" s="13" t="s">
        <v>26</v>
      </c>
      <c r="S669" s="13" t="s">
        <v>865</v>
      </c>
      <c r="T669" s="13" t="s">
        <v>16</v>
      </c>
      <c r="U669" s="17">
        <f t="shared" si="23"/>
        <v>6250000</v>
      </c>
    </row>
    <row r="670" spans="1:21" x14ac:dyDescent="0.3">
      <c r="A670" s="13">
        <v>71</v>
      </c>
      <c r="B670" s="13" t="str">
        <f>+VLOOKUP(A670,'[1]PA 2023'!$A$8:$E$84,5)</f>
        <v>Formular e implementar 1 estrategia de corresponsabilidad en la garantía de derechos, la prevención de vulneración, amenaza o riesgo en el ámbito familiar, comunitario e institucional.</v>
      </c>
      <c r="C670" s="14">
        <v>2022680010056</v>
      </c>
      <c r="D670" s="14" t="str">
        <f>+VLOOKUP(C670,'[1]PA 2023'!$G$8:$H$84,2,FALSE)</f>
        <v>APOYO EN LOS PROCESOS DE ATENCIÓN INTEGRAL DE LOS NIÑOS Y NIÑAS EN EL ESPACIO DE CUIDADO Y ALBERGUE "CASA BÚHO" EN EL MUNICIPIO DE BUCARAMANGA</v>
      </c>
      <c r="E670" s="13" t="s">
        <v>366</v>
      </c>
      <c r="F670" s="15">
        <v>2521</v>
      </c>
      <c r="G670" s="22" t="s">
        <v>35</v>
      </c>
      <c r="H670" s="21" t="s">
        <v>36</v>
      </c>
      <c r="I670" s="13" t="s">
        <v>367</v>
      </c>
      <c r="J670" s="13" t="s">
        <v>1531</v>
      </c>
      <c r="K670" s="16">
        <v>45093</v>
      </c>
      <c r="L670" s="17">
        <v>11000000</v>
      </c>
      <c r="M670" s="17">
        <v>11000000</v>
      </c>
      <c r="N670" s="18">
        <f>1026666.67+2200000+2200000</f>
        <v>5426666.6699999999</v>
      </c>
      <c r="O670" s="22" t="s">
        <v>1550</v>
      </c>
      <c r="Q670" s="13">
        <v>6782</v>
      </c>
      <c r="R670" s="13" t="s">
        <v>1533</v>
      </c>
      <c r="S670" s="13" t="s">
        <v>369</v>
      </c>
      <c r="T670" s="13" t="s">
        <v>16</v>
      </c>
      <c r="U670" s="17">
        <f t="shared" si="23"/>
        <v>5573333.3300000001</v>
      </c>
    </row>
    <row r="671" spans="1:21" x14ac:dyDescent="0.3">
      <c r="A671" s="13">
        <v>71</v>
      </c>
      <c r="B671" s="13" t="str">
        <f>+VLOOKUP(A671,'[1]PA 2023'!$A$8:$E$84,5)</f>
        <v>Formular e implementar 1 estrategia de corresponsabilidad en la garantía de derechos, la prevención de vulneración, amenaza o riesgo en el ámbito familiar, comunitario e institucional.</v>
      </c>
      <c r="C671" s="14">
        <v>2022680010056</v>
      </c>
      <c r="D671" s="14" t="str">
        <f>+VLOOKUP(C671,'[1]PA 2023'!$G$8:$H$84,2,FALSE)</f>
        <v>APOYO EN LOS PROCESOS DE ATENCIÓN INTEGRAL DE LOS NIÑOS Y NIÑAS EN EL ESPACIO DE CUIDADO Y ALBERGUE "CASA BÚHO" EN EL MUNICIPIO DE BUCARAMANGA</v>
      </c>
      <c r="E671" s="13" t="s">
        <v>449</v>
      </c>
      <c r="F671" s="15">
        <v>2511</v>
      </c>
      <c r="G671" s="22" t="s">
        <v>35</v>
      </c>
      <c r="H671" s="21" t="s">
        <v>36</v>
      </c>
      <c r="I671" s="13" t="s">
        <v>450</v>
      </c>
      <c r="J671" s="13" t="s">
        <v>1531</v>
      </c>
      <c r="K671" s="16">
        <v>45093</v>
      </c>
      <c r="L671" s="17">
        <v>11000000</v>
      </c>
      <c r="M671" s="17">
        <v>11000000</v>
      </c>
      <c r="N671" s="18">
        <f>1100000+2200000+733333.33</f>
        <v>4033333.33</v>
      </c>
      <c r="O671" s="22" t="s">
        <v>1551</v>
      </c>
      <c r="Q671" s="13">
        <v>6783</v>
      </c>
      <c r="R671" s="23" t="s">
        <v>1533</v>
      </c>
      <c r="S671" s="13" t="s">
        <v>452</v>
      </c>
      <c r="T671" s="13" t="s">
        <v>16</v>
      </c>
      <c r="U671" s="17">
        <f>+M671-N671+M1153</f>
        <v>6966666.6699999999</v>
      </c>
    </row>
    <row r="672" spans="1:21" x14ac:dyDescent="0.3">
      <c r="A672" s="13">
        <v>71</v>
      </c>
      <c r="B672" s="13" t="str">
        <f>+VLOOKUP(A672,'[1]PA 2023'!$A$8:$E$84,5)</f>
        <v>Formular e implementar 1 estrategia de corresponsabilidad en la garantía de derechos, la prevención de vulneración, amenaza o riesgo en el ámbito familiar, comunitario e institucional.</v>
      </c>
      <c r="C672" s="14">
        <v>2022680010056</v>
      </c>
      <c r="D672" s="14" t="str">
        <f>+VLOOKUP(C672,'[1]PA 2023'!$G$8:$H$84,2,FALSE)</f>
        <v>APOYO EN LOS PROCESOS DE ATENCIÓN INTEGRAL DE LOS NIÑOS Y NIÑAS EN EL ESPACIO DE CUIDADO Y ALBERGUE "CASA BÚHO" EN EL MUNICIPIO DE BUCARAMANGA</v>
      </c>
      <c r="E672" s="13" t="s">
        <v>1552</v>
      </c>
      <c r="F672" s="15">
        <v>2520</v>
      </c>
      <c r="G672" s="21" t="s">
        <v>43</v>
      </c>
      <c r="H672" s="21" t="s">
        <v>36</v>
      </c>
      <c r="I672" s="13" t="s">
        <v>235</v>
      </c>
      <c r="J672" s="13" t="s">
        <v>1531</v>
      </c>
      <c r="K672" s="16">
        <v>45093</v>
      </c>
      <c r="L672" s="17">
        <v>15000000</v>
      </c>
      <c r="M672" s="17">
        <v>15000000</v>
      </c>
      <c r="N672" s="18">
        <f>1400000+3000000+3000000</f>
        <v>7400000</v>
      </c>
      <c r="O672" s="22" t="s">
        <v>1553</v>
      </c>
      <c r="Q672" s="13">
        <v>6784</v>
      </c>
      <c r="R672" s="13" t="s">
        <v>1533</v>
      </c>
      <c r="S672" s="13" t="s">
        <v>237</v>
      </c>
      <c r="T672" s="13" t="s">
        <v>16</v>
      </c>
      <c r="U672" s="17">
        <f t="shared" ref="U672:U696" si="24">+M672-N672</f>
        <v>7600000</v>
      </c>
    </row>
    <row r="673" spans="1:21" x14ac:dyDescent="0.3">
      <c r="A673" s="13">
        <v>93</v>
      </c>
      <c r="B673" s="13" t="str">
        <f>+VLOOKUP(A673,'[1]PA 2023'!$A$8:$E$84,5)</f>
        <v>Mantener en funcionamiento los 3 Centros Vida con la prestacion de servicios integrales y/o dotacion de los mismos cumpliendo con la oferta institucional.</v>
      </c>
      <c r="C673" s="14">
        <v>2020680010040</v>
      </c>
      <c r="D673" s="14" t="str">
        <f>+VLOOKUP(C673,'[1]PA 2023'!$G$8:$H$84,2,FALSE)</f>
        <v>IMPLEMENTACIÓN DE ACCIONES TENDIENTES A MEJORAR LAS CONDICIONES DE LOS ADULTOS MAYORES DEL MUNICIPIO DE BUCARAMANGA</v>
      </c>
      <c r="E673" s="13" t="s">
        <v>617</v>
      </c>
      <c r="F673" s="15">
        <v>2524</v>
      </c>
      <c r="G673" s="21" t="s">
        <v>43</v>
      </c>
      <c r="H673" s="21" t="s">
        <v>36</v>
      </c>
      <c r="I673" s="13" t="s">
        <v>630</v>
      </c>
      <c r="J673" s="13" t="s">
        <v>1554</v>
      </c>
      <c r="K673" s="16">
        <v>45093</v>
      </c>
      <c r="L673" s="17">
        <v>15000000</v>
      </c>
      <c r="M673" s="17">
        <v>15000000</v>
      </c>
      <c r="N673" s="18">
        <f>1400000+3000000+3000000</f>
        <v>7400000</v>
      </c>
      <c r="O673" s="22" t="s">
        <v>1555</v>
      </c>
      <c r="Q673" s="13">
        <v>6785</v>
      </c>
      <c r="R673" s="13" t="s">
        <v>1556</v>
      </c>
      <c r="S673" s="13" t="s">
        <v>632</v>
      </c>
      <c r="T673" s="13" t="s">
        <v>16</v>
      </c>
      <c r="U673" s="17">
        <f t="shared" si="24"/>
        <v>7600000</v>
      </c>
    </row>
    <row r="674" spans="1:21" x14ac:dyDescent="0.3">
      <c r="A674" s="13">
        <v>71</v>
      </c>
      <c r="B674" s="13" t="str">
        <f>+VLOOKUP(A674,'[1]PA 2023'!$A$8:$E$84,5)</f>
        <v>Formular e implementar 1 estrategia de corresponsabilidad en la garantía de derechos, la prevención de vulneración, amenaza o riesgo en el ámbito familiar, comunitario e institucional.</v>
      </c>
      <c r="C674" s="14">
        <v>2022680010056</v>
      </c>
      <c r="D674" s="14" t="str">
        <f>+VLOOKUP(C674,'[1]PA 2023'!$G$8:$H$84,2,FALSE)</f>
        <v>APOYO EN LOS PROCESOS DE ATENCIÓN INTEGRAL DE LOS NIÑOS Y NIÑAS EN EL ESPACIO DE CUIDADO Y ALBERGUE "CASA BÚHO" EN EL MUNICIPIO DE BUCARAMANGA</v>
      </c>
      <c r="E674" s="13" t="s">
        <v>250</v>
      </c>
      <c r="F674" s="15">
        <v>2516</v>
      </c>
      <c r="G674" s="21" t="s">
        <v>35</v>
      </c>
      <c r="H674" s="21" t="s">
        <v>36</v>
      </c>
      <c r="I674" s="13" t="s">
        <v>251</v>
      </c>
      <c r="J674" s="13" t="s">
        <v>1531</v>
      </c>
      <c r="K674" s="16">
        <v>45093</v>
      </c>
      <c r="L674" s="17">
        <v>11000000</v>
      </c>
      <c r="M674" s="17">
        <v>11000000</v>
      </c>
      <c r="N674" s="18">
        <f>1026666.67+2200000+2200000</f>
        <v>5426666.6699999999</v>
      </c>
      <c r="O674" s="22" t="s">
        <v>1557</v>
      </c>
      <c r="Q674" s="13">
        <v>6786</v>
      </c>
      <c r="R674" s="13" t="s">
        <v>1533</v>
      </c>
      <c r="S674" s="13" t="s">
        <v>253</v>
      </c>
      <c r="T674" s="13" t="s">
        <v>16</v>
      </c>
      <c r="U674" s="17">
        <f t="shared" si="24"/>
        <v>5573333.3300000001</v>
      </c>
    </row>
    <row r="675" spans="1:21" x14ac:dyDescent="0.3">
      <c r="A675" s="13">
        <v>68</v>
      </c>
      <c r="B675" s="13" t="str">
        <f>+VLOOKUP(A675,'[1]PA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75" s="14">
        <v>2022680010056</v>
      </c>
      <c r="D675" s="14" t="str">
        <f>+VLOOKUP(C675,'[1]PA 2023'!$G$8:$H$84,2,FALSE)</f>
        <v>APOYO EN LOS PROCESOS DE ATENCIÓN INTEGRAL DE LOS NIÑOS Y NIÑAS EN EL ESPACIO DE CUIDADO Y ALBERGUE "CASA BÚHO" EN EL MUNICIPIO DE BUCARAMANGA</v>
      </c>
      <c r="E675" s="13" t="s">
        <v>270</v>
      </c>
      <c r="F675" s="15">
        <v>2509</v>
      </c>
      <c r="G675" s="21" t="s">
        <v>43</v>
      </c>
      <c r="H675" s="21" t="s">
        <v>36</v>
      </c>
      <c r="I675" s="13" t="s">
        <v>271</v>
      </c>
      <c r="J675" s="13" t="s">
        <v>1531</v>
      </c>
      <c r="K675" s="16">
        <v>45093</v>
      </c>
      <c r="L675" s="17">
        <v>15000000</v>
      </c>
      <c r="M675" s="17">
        <v>15000000</v>
      </c>
      <c r="N675" s="18">
        <f>1500000+3000000+3000000</f>
        <v>7500000</v>
      </c>
      <c r="O675" s="22" t="s">
        <v>1558</v>
      </c>
      <c r="Q675" s="13">
        <v>6787</v>
      </c>
      <c r="R675" s="13" t="s">
        <v>1533</v>
      </c>
      <c r="S675" s="13" t="s">
        <v>273</v>
      </c>
      <c r="T675" s="13" t="s">
        <v>16</v>
      </c>
      <c r="U675" s="17">
        <f t="shared" si="24"/>
        <v>7500000</v>
      </c>
    </row>
    <row r="676" spans="1:21" x14ac:dyDescent="0.3">
      <c r="A676" s="13">
        <v>78</v>
      </c>
      <c r="B676" s="13" t="str">
        <f>+VLOOKUP(A676,'[1]PA 2023'!$A$8:$E$84,5)</f>
        <v>Formular e implementar 1 ruta de atención integral para niños, niñas, adolescentes refugiados y migrantes y sus familias.</v>
      </c>
      <c r="C676" s="14">
        <v>2022680010056</v>
      </c>
      <c r="D676" s="14" t="str">
        <f>+VLOOKUP(C676,'[1]PA 2023'!$G$8:$H$84,2,FALSE)</f>
        <v>APOYO EN LOS PROCESOS DE ATENCIÓN INTEGRAL DE LOS NIÑOS Y NIÑAS EN EL ESPACIO DE CUIDADO Y ALBERGUE "CASA BÚHO" EN EL MUNICIPIO DE BUCARAMANGA</v>
      </c>
      <c r="E676" s="13" t="s">
        <v>1559</v>
      </c>
      <c r="F676" s="15">
        <v>2517</v>
      </c>
      <c r="G676" s="21" t="s">
        <v>35</v>
      </c>
      <c r="H676" s="21" t="s">
        <v>36</v>
      </c>
      <c r="I676" s="13" t="s">
        <v>446</v>
      </c>
      <c r="J676" s="13" t="s">
        <v>1531</v>
      </c>
      <c r="K676" s="16">
        <v>45093</v>
      </c>
      <c r="L676" s="17">
        <v>11000000</v>
      </c>
      <c r="M676" s="17">
        <v>11000000</v>
      </c>
      <c r="N676" s="18">
        <f>1026666.67+2200000+2200000</f>
        <v>5426666.6699999999</v>
      </c>
      <c r="O676" s="22" t="s">
        <v>1560</v>
      </c>
      <c r="Q676" s="13">
        <v>6788</v>
      </c>
      <c r="R676" s="13" t="s">
        <v>1533</v>
      </c>
      <c r="S676" s="13" t="s">
        <v>448</v>
      </c>
      <c r="T676" s="13" t="s">
        <v>16</v>
      </c>
      <c r="U676" s="17">
        <f t="shared" si="24"/>
        <v>5573333.3300000001</v>
      </c>
    </row>
    <row r="677" spans="1:21" x14ac:dyDescent="0.3">
      <c r="A677" s="13">
        <v>71</v>
      </c>
      <c r="B677" s="13" t="str">
        <f>+VLOOKUP(A677,'[1]PA 2023'!$A$8:$E$84,5)</f>
        <v>Formular e implementar 1 estrategia de corresponsabilidad en la garantía de derechos, la prevención de vulneración, amenaza o riesgo en el ámbito familiar, comunitario e institucional.</v>
      </c>
      <c r="C677" s="14">
        <v>2022680010056</v>
      </c>
      <c r="D677" s="14" t="str">
        <f>+VLOOKUP(C677,'[1]PA 2023'!$G$8:$H$84,2,FALSE)</f>
        <v>APOYO EN LOS PROCESOS DE ATENCIÓN INTEGRAL DE LOS NIÑOS Y NIÑAS EN EL ESPACIO DE CUIDADO Y ALBERGUE "CASA BÚHO" EN EL MUNICIPIO DE BUCARAMANGA</v>
      </c>
      <c r="E677" s="13" t="s">
        <v>266</v>
      </c>
      <c r="F677" s="15">
        <v>2518</v>
      </c>
      <c r="G677" s="21" t="s">
        <v>43</v>
      </c>
      <c r="H677" s="21" t="s">
        <v>36</v>
      </c>
      <c r="I677" s="13" t="s">
        <v>312</v>
      </c>
      <c r="J677" s="13" t="s">
        <v>1531</v>
      </c>
      <c r="K677" s="16">
        <v>45093</v>
      </c>
      <c r="L677" s="17">
        <v>15000000</v>
      </c>
      <c r="M677" s="17">
        <v>15000000</v>
      </c>
      <c r="N677" s="18">
        <f>1400000+3000000+3000000</f>
        <v>7400000</v>
      </c>
      <c r="O677" s="22" t="s">
        <v>1561</v>
      </c>
      <c r="Q677" s="13">
        <v>6789</v>
      </c>
      <c r="R677" s="13" t="s">
        <v>1533</v>
      </c>
      <c r="S677" s="13" t="s">
        <v>314</v>
      </c>
      <c r="T677" s="13" t="s">
        <v>16</v>
      </c>
      <c r="U677" s="17">
        <f t="shared" si="24"/>
        <v>7600000</v>
      </c>
    </row>
    <row r="678" spans="1:21" x14ac:dyDescent="0.3">
      <c r="A678" s="13">
        <v>68</v>
      </c>
      <c r="B678" s="13" t="str">
        <f>+VLOOKUP(A678,'[1]PA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78" s="14">
        <v>2022680010056</v>
      </c>
      <c r="D678" s="14" t="str">
        <f>+VLOOKUP(C678,'[1]PA 2023'!$G$8:$H$84,2,FALSE)</f>
        <v>APOYO EN LOS PROCESOS DE ATENCIÓN INTEGRAL DE LOS NIÑOS Y NIÑAS EN EL ESPACIO DE CUIDADO Y ALBERGUE "CASA BÚHO" EN EL MUNICIPIO DE BUCARAMANGA</v>
      </c>
      <c r="E678" s="13" t="s">
        <v>1562</v>
      </c>
      <c r="F678" s="15">
        <v>2515</v>
      </c>
      <c r="G678" s="21" t="s">
        <v>43</v>
      </c>
      <c r="H678" s="21" t="s">
        <v>36</v>
      </c>
      <c r="I678" s="13" t="s">
        <v>335</v>
      </c>
      <c r="J678" s="13" t="s">
        <v>1531</v>
      </c>
      <c r="K678" s="16">
        <v>45093</v>
      </c>
      <c r="L678" s="17">
        <v>15000000</v>
      </c>
      <c r="M678" s="17">
        <v>15000000</v>
      </c>
      <c r="N678" s="18">
        <f>1400000+3000000+3000000</f>
        <v>7400000</v>
      </c>
      <c r="O678" s="22" t="s">
        <v>1563</v>
      </c>
      <c r="Q678" s="13">
        <v>6790</v>
      </c>
      <c r="R678" s="13" t="s">
        <v>1533</v>
      </c>
      <c r="S678" s="13" t="s">
        <v>337</v>
      </c>
      <c r="T678" s="13" t="s">
        <v>16</v>
      </c>
      <c r="U678" s="17">
        <f t="shared" si="24"/>
        <v>7600000</v>
      </c>
    </row>
    <row r="679" spans="1:21" x14ac:dyDescent="0.3">
      <c r="A679" s="13">
        <v>68</v>
      </c>
      <c r="B679" s="13" t="str">
        <f>+VLOOKUP(A679,'[1]PA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79" s="14">
        <v>2022680010056</v>
      </c>
      <c r="D679" s="14" t="str">
        <f>+VLOOKUP(C679,'[1]PA 2023'!$G$8:$H$84,2,FALSE)</f>
        <v>APOYO EN LOS PROCESOS DE ATENCIÓN INTEGRAL DE LOS NIÑOS Y NIÑAS EN EL ESPACIO DE CUIDADO Y ALBERGUE "CASA BÚHO" EN EL MUNICIPIO DE BUCARAMANGA</v>
      </c>
      <c r="E679" s="13" t="s">
        <v>270</v>
      </c>
      <c r="F679" s="15">
        <v>2514</v>
      </c>
      <c r="G679" s="21" t="s">
        <v>43</v>
      </c>
      <c r="H679" s="21" t="s">
        <v>36</v>
      </c>
      <c r="I679" s="13" t="s">
        <v>319</v>
      </c>
      <c r="J679" s="13" t="s">
        <v>1531</v>
      </c>
      <c r="K679" s="16">
        <v>45093</v>
      </c>
      <c r="L679" s="17">
        <v>15000000</v>
      </c>
      <c r="M679" s="17">
        <v>15000000</v>
      </c>
      <c r="N679" s="18">
        <f>1500000+3000000+3000000</f>
        <v>7500000</v>
      </c>
      <c r="O679" s="22" t="s">
        <v>1564</v>
      </c>
      <c r="Q679" s="13">
        <v>6791</v>
      </c>
      <c r="R679" s="13" t="s">
        <v>1533</v>
      </c>
      <c r="S679" s="13" t="s">
        <v>321</v>
      </c>
      <c r="T679" s="13" t="s">
        <v>16</v>
      </c>
      <c r="U679" s="17">
        <f t="shared" si="24"/>
        <v>7500000</v>
      </c>
    </row>
    <row r="680" spans="1:21" x14ac:dyDescent="0.3">
      <c r="A680" s="13">
        <v>68</v>
      </c>
      <c r="B680" s="13" t="str">
        <f>+VLOOKUP(A680,'[1]PA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80" s="14">
        <v>2022680010056</v>
      </c>
      <c r="D680" s="14" t="str">
        <f>+VLOOKUP(C680,'[1]PA 2023'!$G$8:$H$84,2,FALSE)</f>
        <v>APOYO EN LOS PROCESOS DE ATENCIÓN INTEGRAL DE LOS NIÑOS Y NIÑAS EN EL ESPACIO DE CUIDADO Y ALBERGUE "CASA BÚHO" EN EL MUNICIPIO DE BUCARAMANGA</v>
      </c>
      <c r="E680" s="13" t="s">
        <v>266</v>
      </c>
      <c r="F680" s="15">
        <v>2519</v>
      </c>
      <c r="G680" s="21" t="s">
        <v>43</v>
      </c>
      <c r="H680" s="21" t="s">
        <v>36</v>
      </c>
      <c r="I680" s="13" t="s">
        <v>282</v>
      </c>
      <c r="J680" s="13" t="s">
        <v>1531</v>
      </c>
      <c r="K680" s="16">
        <v>45093</v>
      </c>
      <c r="L680" s="17">
        <v>15000000</v>
      </c>
      <c r="M680" s="17">
        <v>15000000</v>
      </c>
      <c r="N680" s="18">
        <f>1400000+3000000+3000000</f>
        <v>7400000</v>
      </c>
      <c r="O680" s="22" t="s">
        <v>1565</v>
      </c>
      <c r="Q680" s="13">
        <v>6792</v>
      </c>
      <c r="R680" s="13" t="s">
        <v>1533</v>
      </c>
      <c r="S680" s="13" t="s">
        <v>284</v>
      </c>
      <c r="T680" s="13" t="s">
        <v>16</v>
      </c>
      <c r="U680" s="17">
        <f t="shared" si="24"/>
        <v>7600000</v>
      </c>
    </row>
    <row r="681" spans="1:21" x14ac:dyDescent="0.3">
      <c r="A681" s="13">
        <v>283</v>
      </c>
      <c r="B681" s="13" t="str">
        <f>+VLOOKUP(A681,'[1]PA 2023'!$A$8:$E$84,5)</f>
        <v>Formular e implementar 1 estrategia que fortalezca la democracia participativa (Ley 1757 de 2015).</v>
      </c>
      <c r="C681" s="14">
        <v>2022680010035</v>
      </c>
      <c r="D681" s="14" t="str">
        <f>+VLOOKUP(C681,'[1]PA 2023'!$G$8:$H$84,2,FALSE)</f>
        <v>FORTALECIMIENTO DE LA PARTICIPACIÓN E INCIDENCIA DE LAS EXPRESIONES E INSTITUCIONES DEMOCRÁTICAS JUVENILES DE LA CIUDAD DE BUCARAMANGA</v>
      </c>
      <c r="E681" s="13" t="s">
        <v>1566</v>
      </c>
      <c r="F681" s="15">
        <v>2522</v>
      </c>
      <c r="G681" s="21" t="s">
        <v>43</v>
      </c>
      <c r="H681" s="21" t="s">
        <v>36</v>
      </c>
      <c r="I681" s="13" t="s">
        <v>1176</v>
      </c>
      <c r="J681" s="13" t="s">
        <v>1505</v>
      </c>
      <c r="K681" s="16">
        <v>45097</v>
      </c>
      <c r="L681" s="17">
        <v>18600000</v>
      </c>
      <c r="M681" s="17">
        <v>18600000</v>
      </c>
      <c r="N681" s="18">
        <f>1136666.67+3100000+3100000</f>
        <v>7336666.6699999999</v>
      </c>
      <c r="O681" s="22" t="s">
        <v>1567</v>
      </c>
      <c r="Q681" s="13">
        <v>6835</v>
      </c>
      <c r="R681" s="13" t="s">
        <v>1462</v>
      </c>
      <c r="S681" s="13" t="s">
        <v>1178</v>
      </c>
      <c r="T681" s="13" t="s">
        <v>16</v>
      </c>
      <c r="U681" s="17">
        <f t="shared" si="24"/>
        <v>11263333.33</v>
      </c>
    </row>
    <row r="682" spans="1:21" x14ac:dyDescent="0.3">
      <c r="A682" s="13">
        <v>96</v>
      </c>
      <c r="B682" s="13" t="str">
        <f>+VLOOKUP(A682,'[1]PA 2023'!$A$8:$E$84,5)</f>
        <v>Formular e implementar 1 estrategia que promueva la democratización familiar apoyada en el componente de bienestar comunitario del programa Familias en Acción con impacto en barrios priorizados por NBI.</v>
      </c>
      <c r="C682" s="14">
        <v>2020680010072</v>
      </c>
      <c r="D682" s="14" t="str">
        <f>+VLOOKUP(C682,'[1]PA 2023'!$G$8:$H$84,2,FALSE)</f>
        <v>APOYO A LA OPERATIVIDAD DEL PROGRAMA NACIONAL MÁS FAMILIAS EN ACCIÓN EN EL MUNICIPIO DE BUCARAMANGA</v>
      </c>
      <c r="E682" s="13" t="s">
        <v>1568</v>
      </c>
      <c r="F682" s="15">
        <v>2539</v>
      </c>
      <c r="G682" s="21" t="s">
        <v>43</v>
      </c>
      <c r="H682" s="21" t="s">
        <v>36</v>
      </c>
      <c r="I682" s="13" t="s">
        <v>1242</v>
      </c>
      <c r="J682" s="13" t="s">
        <v>1466</v>
      </c>
      <c r="K682" s="16">
        <v>45097</v>
      </c>
      <c r="L682" s="17">
        <v>18000000</v>
      </c>
      <c r="M682" s="17">
        <v>18000000</v>
      </c>
      <c r="N682" s="18">
        <f>3000000+1100000+3000000</f>
        <v>7100000</v>
      </c>
      <c r="O682" s="22" t="s">
        <v>1569</v>
      </c>
      <c r="Q682" s="13">
        <v>6836</v>
      </c>
      <c r="R682" s="13" t="s">
        <v>1468</v>
      </c>
      <c r="S682" s="13" t="s">
        <v>1244</v>
      </c>
      <c r="T682" s="13" t="s">
        <v>16</v>
      </c>
      <c r="U682" s="17">
        <f t="shared" si="24"/>
        <v>10900000</v>
      </c>
    </row>
    <row r="683" spans="1:21" x14ac:dyDescent="0.3">
      <c r="A683" s="13">
        <v>300</v>
      </c>
      <c r="B683" s="13" t="str">
        <f>+VLOOKUP(A683,'[1]PA 2023'!$A$8:$E$84,5)</f>
        <v>Mantener el 100% de los programas que desarrolla la Administración Central.</v>
      </c>
      <c r="C683" s="14">
        <v>2023680010016</v>
      </c>
      <c r="D683" s="14" t="str">
        <f>+VLOOKUP(C683,'[1]PA 2023'!$G$8:$H$84,2,FALSE)</f>
        <v>APOYO A LA GESTIÓN ADMINISTRATIVA Y PROCESOS TRANSVERSALES DE LA SECRETARIA DE DESARROLLO SOCIAL DEL MUNICIPIO DE BUCARAMANGA</v>
      </c>
      <c r="E683" s="13" t="s">
        <v>1570</v>
      </c>
      <c r="F683" s="15">
        <v>2533</v>
      </c>
      <c r="G683" s="21" t="s">
        <v>43</v>
      </c>
      <c r="H683" s="21" t="s">
        <v>36</v>
      </c>
      <c r="I683" s="13" t="s">
        <v>128</v>
      </c>
      <c r="J683" s="13" t="s">
        <v>1388</v>
      </c>
      <c r="K683" s="16">
        <v>45097</v>
      </c>
      <c r="L683" s="17">
        <v>24000000</v>
      </c>
      <c r="M683" s="17">
        <v>24000000</v>
      </c>
      <c r="N683" s="18">
        <f>1466666.67+4000000+4000000</f>
        <v>9466666.6699999999</v>
      </c>
      <c r="O683" s="22" t="s">
        <v>1571</v>
      </c>
      <c r="Q683" s="13">
        <v>6837</v>
      </c>
      <c r="R683" s="13" t="s">
        <v>1390</v>
      </c>
      <c r="S683" s="13" t="s">
        <v>130</v>
      </c>
      <c r="T683" s="13" t="s">
        <v>16</v>
      </c>
      <c r="U683" s="17">
        <f t="shared" si="24"/>
        <v>14533333.33</v>
      </c>
    </row>
    <row r="684" spans="1:21" x14ac:dyDescent="0.3">
      <c r="A684" s="13">
        <v>94</v>
      </c>
      <c r="B684" s="13" t="str">
        <f>+VLOOKUP(A684,'[1]PA 2023'!$A$8:$E$84,5)</f>
        <v>Mantener el servicio atención primaria en salud, atención psicosocial que promueva la salud física, salud mental y el bienestar social de las personas mayores en los centros vida.</v>
      </c>
      <c r="C684" s="14">
        <v>2020680010040</v>
      </c>
      <c r="D684" s="14" t="str">
        <f>+VLOOKUP(C684,'[1]PA 2023'!$G$8:$H$84,2,FALSE)</f>
        <v>IMPLEMENTACIÓN DE ACCIONES TENDIENTES A MEJORAR LAS CONDICIONES DE LOS ADULTOS MAYORES DEL MUNICIPIO DE BUCARAMANGA</v>
      </c>
      <c r="E684" s="13" t="s">
        <v>641</v>
      </c>
      <c r="F684" s="15">
        <v>2544</v>
      </c>
      <c r="G684" s="21" t="s">
        <v>43</v>
      </c>
      <c r="H684" s="21" t="s">
        <v>36</v>
      </c>
      <c r="I684" s="13" t="s">
        <v>782</v>
      </c>
      <c r="J684" s="13" t="s">
        <v>574</v>
      </c>
      <c r="K684" s="16">
        <v>45097</v>
      </c>
      <c r="L684" s="17">
        <v>15000000</v>
      </c>
      <c r="M684" s="17">
        <v>15000000</v>
      </c>
      <c r="N684" s="18">
        <f>1100000+3000000+3000000</f>
        <v>7100000</v>
      </c>
      <c r="O684" s="22" t="s">
        <v>1572</v>
      </c>
      <c r="Q684" s="13">
        <v>6838</v>
      </c>
      <c r="R684" s="13" t="s">
        <v>26</v>
      </c>
      <c r="S684" s="13" t="s">
        <v>784</v>
      </c>
      <c r="T684" s="13" t="s">
        <v>16</v>
      </c>
      <c r="U684" s="17">
        <f t="shared" si="24"/>
        <v>7900000</v>
      </c>
    </row>
    <row r="685" spans="1:21" x14ac:dyDescent="0.3">
      <c r="A685" s="13">
        <v>95</v>
      </c>
      <c r="B685" s="13" t="str">
        <f>+VLOOKUP(A685,'[1]PA 2023'!$A$8:$E$84,5)</f>
        <v>Formular e implementar 1 estrategia que promueva  las actividades psicosociales, actividades artísticas y culturales,   actividades físicas y recreación y actividades productivas en las personas mayores.</v>
      </c>
      <c r="C685" s="14">
        <v>2020680010040</v>
      </c>
      <c r="D685" s="14" t="str">
        <f>+VLOOKUP(C685,'[1]PA 2023'!$G$8:$H$84,2,FALSE)</f>
        <v>IMPLEMENTACIÓN DE ACCIONES TENDIENTES A MEJORAR LAS CONDICIONES DE LOS ADULTOS MAYORES DEL MUNICIPIO DE BUCARAMANGA</v>
      </c>
      <c r="E685" s="13" t="s">
        <v>1573</v>
      </c>
      <c r="F685" s="15">
        <v>2543</v>
      </c>
      <c r="G685" s="21" t="s">
        <v>43</v>
      </c>
      <c r="H685" s="21" t="s">
        <v>36</v>
      </c>
      <c r="I685" s="13" t="s">
        <v>836</v>
      </c>
      <c r="J685" s="13" t="s">
        <v>1554</v>
      </c>
      <c r="K685" s="16">
        <v>45097</v>
      </c>
      <c r="L685" s="17">
        <v>15000000</v>
      </c>
      <c r="M685" s="17">
        <v>15000000</v>
      </c>
      <c r="N685" s="18">
        <f>1100000+3000000+3000000</f>
        <v>7100000</v>
      </c>
      <c r="O685" s="22" t="s">
        <v>1574</v>
      </c>
      <c r="Q685" s="13">
        <v>6839</v>
      </c>
      <c r="R685" s="13" t="s">
        <v>1556</v>
      </c>
      <c r="S685" s="13" t="s">
        <v>838</v>
      </c>
      <c r="T685" s="13" t="s">
        <v>16</v>
      </c>
      <c r="U685" s="17">
        <f t="shared" si="24"/>
        <v>7900000</v>
      </c>
    </row>
    <row r="686" spans="1:21" x14ac:dyDescent="0.3">
      <c r="A686" s="13">
        <v>94</v>
      </c>
      <c r="B686" s="13" t="str">
        <f>+VLOOKUP(A686,'[1]PA 2023'!$A$8:$E$84,5)</f>
        <v>Mantener el servicio atención primaria en salud, atención psicosocial que promueva la salud física, salud mental y el bienestar social de las personas mayores en los centros vida.</v>
      </c>
      <c r="C686" s="14">
        <v>2020680010040</v>
      </c>
      <c r="D686" s="14" t="str">
        <f>+VLOOKUP(C686,'[1]PA 2023'!$G$8:$H$84,2,FALSE)</f>
        <v>IMPLEMENTACIÓN DE ACCIONES TENDIENTES A MEJORAR LAS CONDICIONES DE LOS ADULTOS MAYORES DEL MUNICIPIO DE BUCARAMANGA</v>
      </c>
      <c r="E686" s="13" t="s">
        <v>1230</v>
      </c>
      <c r="F686" s="15">
        <v>2542</v>
      </c>
      <c r="G686" s="21" t="s">
        <v>43</v>
      </c>
      <c r="H686" s="21" t="s">
        <v>36</v>
      </c>
      <c r="I686" s="13" t="s">
        <v>1231</v>
      </c>
      <c r="J686" s="13" t="s">
        <v>574</v>
      </c>
      <c r="K686" s="16">
        <v>45097</v>
      </c>
      <c r="L686" s="17">
        <v>15000000</v>
      </c>
      <c r="M686" s="17">
        <v>15000000</v>
      </c>
      <c r="N686" s="18">
        <f>1100000+3000000+3000000</f>
        <v>7100000</v>
      </c>
      <c r="O686" s="22" t="s">
        <v>1575</v>
      </c>
      <c r="Q686" s="13">
        <v>6840</v>
      </c>
      <c r="R686" s="13" t="s">
        <v>26</v>
      </c>
      <c r="S686" s="13" t="s">
        <v>1233</v>
      </c>
      <c r="T686" s="13" t="s">
        <v>16</v>
      </c>
      <c r="U686" s="17">
        <f t="shared" si="24"/>
        <v>7900000</v>
      </c>
    </row>
    <row r="687" spans="1:21" x14ac:dyDescent="0.3">
      <c r="A687" s="13">
        <v>80</v>
      </c>
      <c r="B687" s="13" t="str">
        <f>+VLOOKUP(A687,'[1]PA 2023'!$A$8:$E$84,5)</f>
        <v>Brindar 150.000 entradas gratuitas de niñas, niños y adolescentes y sus familias a  eventos artísticos, culturales, lúdicos y recreativos.</v>
      </c>
      <c r="C687" s="14">
        <v>2021680010003</v>
      </c>
      <c r="D687" s="14" t="str">
        <f>+VLOOKUP(C687,'[1]PA 2023'!$G$8:$H$84,2,FALSE)</f>
        <v>IMPLEMENTACIÓN DE ESTRATEGIAS PSICOPEDAGÓGICAS PARA LA DISMINUCIÓN DE FACTORES DE RIESGO EN NIÑOS, NIÑAS Y ADOLESCENTES EN EL MUNICIPIO DE BUCARAMANGA</v>
      </c>
      <c r="E687" s="13" t="s">
        <v>1576</v>
      </c>
      <c r="F687" s="15">
        <v>136</v>
      </c>
      <c r="G687" s="22" t="s">
        <v>1114</v>
      </c>
      <c r="H687" s="21" t="s">
        <v>36</v>
      </c>
      <c r="I687" s="13" t="s">
        <v>1577</v>
      </c>
      <c r="J687" s="13" t="s">
        <v>1578</v>
      </c>
      <c r="K687" s="16">
        <v>45097</v>
      </c>
      <c r="L687" s="17">
        <v>70000000</v>
      </c>
      <c r="M687" s="17">
        <v>70000000</v>
      </c>
      <c r="N687" s="18">
        <v>0</v>
      </c>
      <c r="O687" s="22" t="s">
        <v>1579</v>
      </c>
      <c r="Q687" s="13">
        <v>6847</v>
      </c>
      <c r="R687" s="23" t="s">
        <v>1580</v>
      </c>
      <c r="S687" s="13" t="s">
        <v>1581</v>
      </c>
      <c r="T687" s="13" t="s">
        <v>16</v>
      </c>
      <c r="U687" s="17">
        <f t="shared" si="24"/>
        <v>70000000</v>
      </c>
    </row>
    <row r="688" spans="1:21" x14ac:dyDescent="0.3">
      <c r="A688" s="13">
        <v>95</v>
      </c>
      <c r="B688" s="13" t="str">
        <f>+VLOOKUP(A688,'[1]PA 2023'!$A$8:$E$84,5)</f>
        <v>Formular e implementar 1 estrategia que promueva  las actividades psicosociales, actividades artísticas y culturales,   actividades físicas y recreación y actividades productivas en las personas mayores.</v>
      </c>
      <c r="C688" s="14">
        <v>2020680010040</v>
      </c>
      <c r="D688" s="14" t="str">
        <f>+VLOOKUP(C688,'[1]PA 2023'!$G$8:$H$84,2,FALSE)</f>
        <v>IMPLEMENTACIÓN DE ACCIONES TENDIENTES A MEJORAR LAS CONDICIONES DE LOS ADULTOS MAYORES DEL MUNICIPIO DE BUCARAMANGA</v>
      </c>
      <c r="E688" s="13" t="s">
        <v>1576</v>
      </c>
      <c r="F688" s="15">
        <v>136</v>
      </c>
      <c r="G688" s="22" t="s">
        <v>1114</v>
      </c>
      <c r="H688" s="21" t="s">
        <v>36</v>
      </c>
      <c r="I688" s="13" t="s">
        <v>1577</v>
      </c>
      <c r="J688" s="13" t="s">
        <v>1582</v>
      </c>
      <c r="K688" s="16">
        <v>45097</v>
      </c>
      <c r="L688" s="17">
        <v>50000000</v>
      </c>
      <c r="M688" s="17">
        <v>50000000</v>
      </c>
      <c r="N688" s="18">
        <v>0</v>
      </c>
      <c r="O688" s="22" t="s">
        <v>1579</v>
      </c>
      <c r="Q688" s="13">
        <v>6847</v>
      </c>
      <c r="R688" s="23" t="s">
        <v>1583</v>
      </c>
      <c r="S688" s="13" t="s">
        <v>1581</v>
      </c>
      <c r="T688" s="13" t="s">
        <v>16</v>
      </c>
      <c r="U688" s="17">
        <f t="shared" si="24"/>
        <v>50000000</v>
      </c>
    </row>
    <row r="689" spans="1:21" x14ac:dyDescent="0.3">
      <c r="A689" s="13">
        <v>283</v>
      </c>
      <c r="B689" s="13" t="str">
        <f>+VLOOKUP(A689,'[1]PA 2023'!$A$8:$E$84,5)</f>
        <v>Formular e implementar 1 estrategia que fortalezca la democracia participativa (Ley 1757 de 2015).</v>
      </c>
      <c r="C689" s="14">
        <v>2022680010029</v>
      </c>
      <c r="D689" s="14" t="str">
        <f>+VLOOKUP(C689,'[1]PA 2023'!$G$8:$H$84,2,FALSE)</f>
        <v>FORTALECIMIENTO DE LA PARTICIPACIÓN CIUDADANA EN EL MUNICIPIO DE BUCARAMANGA</v>
      </c>
      <c r="E689" s="13" t="s">
        <v>1576</v>
      </c>
      <c r="F689" s="15">
        <v>136</v>
      </c>
      <c r="G689" s="22" t="s">
        <v>1114</v>
      </c>
      <c r="H689" s="21" t="s">
        <v>36</v>
      </c>
      <c r="I689" s="13" t="s">
        <v>1577</v>
      </c>
      <c r="J689" s="13" t="s">
        <v>1460</v>
      </c>
      <c r="K689" s="16">
        <v>45097</v>
      </c>
      <c r="L689" s="17">
        <v>30000000</v>
      </c>
      <c r="M689" s="17">
        <v>30000000</v>
      </c>
      <c r="N689" s="18">
        <v>0</v>
      </c>
      <c r="O689" s="22" t="s">
        <v>1579</v>
      </c>
      <c r="Q689" s="13">
        <v>6847</v>
      </c>
      <c r="R689" s="23" t="s">
        <v>1462</v>
      </c>
      <c r="S689" s="13" t="s">
        <v>1581</v>
      </c>
      <c r="T689" s="13" t="s">
        <v>16</v>
      </c>
      <c r="U689" s="17">
        <f t="shared" si="24"/>
        <v>30000000</v>
      </c>
    </row>
    <row r="690" spans="1:21" x14ac:dyDescent="0.3">
      <c r="A690" s="13">
        <v>106</v>
      </c>
      <c r="B690" s="13" t="str">
        <f>+VLOOKUP(A690,'[1]PA 2023'!$A$8:$E$84,5)</f>
        <v>Actualizar e implementar la Política Pública de Mujer.</v>
      </c>
      <c r="C690" s="14">
        <v>2023680010015</v>
      </c>
      <c r="D690" s="14" t="str">
        <f>+VLOOKUP(C690,'[1]PA 2023'!$G$8:$H$84,2,FALSE)</f>
        <v>FORTALECIMIENTO DE ACCIONES ORIENTADAS AL CIERRE DE BRECHAS DE GÉNERO PARA MUJERES Y POBLACIÓN CON ORIENTACIONES SEXUALES E IDENTIDADES DE GÉNERO DIVERSAS DEL MUNICIPIO DE BUCARAMANGA</v>
      </c>
      <c r="E690" s="13" t="s">
        <v>1576</v>
      </c>
      <c r="F690" s="15">
        <v>136</v>
      </c>
      <c r="G690" s="22" t="s">
        <v>1114</v>
      </c>
      <c r="H690" s="21" t="s">
        <v>36</v>
      </c>
      <c r="I690" s="13" t="s">
        <v>1577</v>
      </c>
      <c r="J690" s="13" t="s">
        <v>1488</v>
      </c>
      <c r="K690" s="16">
        <v>45097</v>
      </c>
      <c r="L690" s="17">
        <v>30000000</v>
      </c>
      <c r="M690" s="17">
        <v>30000000</v>
      </c>
      <c r="N690" s="18">
        <v>0</v>
      </c>
      <c r="O690" s="22" t="s">
        <v>1579</v>
      </c>
      <c r="Q690" s="13">
        <v>6847</v>
      </c>
      <c r="R690" s="23" t="s">
        <v>1490</v>
      </c>
      <c r="S690" s="13" t="s">
        <v>1581</v>
      </c>
      <c r="T690" s="13" t="s">
        <v>16</v>
      </c>
      <c r="U690" s="17">
        <f t="shared" si="24"/>
        <v>30000000</v>
      </c>
    </row>
    <row r="691" spans="1:21" x14ac:dyDescent="0.3">
      <c r="A691" s="13">
        <v>71</v>
      </c>
      <c r="B691" s="13" t="str">
        <f>+VLOOKUP(A691,'[1]PA 2023'!$A$8:$E$84,5)</f>
        <v>Formular e implementar 1 estrategia de corresponsabilidad en la garantía de derechos, la prevención de vulneración, amenaza o riesgo en el ámbito familiar, comunitario e institucional.</v>
      </c>
      <c r="C691" s="14">
        <v>2022680010056</v>
      </c>
      <c r="D691" s="14" t="str">
        <f>+VLOOKUP(C691,'[1]PA 2023'!$G$8:$H$84,2,FALSE)</f>
        <v>APOYO EN LOS PROCESOS DE ATENCIÓN INTEGRAL DE LOS NIÑOS Y NIÑAS EN EL ESPACIO DE CUIDADO Y ALBERGUE "CASA BÚHO" EN EL MUNICIPIO DE BUCARAMANGA</v>
      </c>
      <c r="E691" s="13" t="s">
        <v>1562</v>
      </c>
      <c r="F691" s="15">
        <v>2502</v>
      </c>
      <c r="G691" s="21" t="s">
        <v>43</v>
      </c>
      <c r="H691" s="21" t="s">
        <v>36</v>
      </c>
      <c r="I691" s="13" t="s">
        <v>279</v>
      </c>
      <c r="J691" s="13" t="s">
        <v>1531</v>
      </c>
      <c r="K691" s="16">
        <v>45098</v>
      </c>
      <c r="L691" s="17">
        <v>15000000</v>
      </c>
      <c r="M691" s="17">
        <v>15000000</v>
      </c>
      <c r="N691" s="18">
        <f>1000000+3000000+3000000</f>
        <v>7000000</v>
      </c>
      <c r="O691" s="22" t="s">
        <v>1584</v>
      </c>
      <c r="Q691" s="13">
        <v>6851</v>
      </c>
      <c r="R691" s="13" t="s">
        <v>1533</v>
      </c>
      <c r="S691" s="13" t="s">
        <v>281</v>
      </c>
      <c r="T691" s="13" t="s">
        <v>16</v>
      </c>
      <c r="U691" s="17">
        <f t="shared" si="24"/>
        <v>8000000</v>
      </c>
    </row>
    <row r="692" spans="1:21" x14ac:dyDescent="0.3">
      <c r="A692" s="13">
        <v>93</v>
      </c>
      <c r="B692" s="13" t="str">
        <f>+VLOOKUP(A692,'[1]PA 2023'!$A$8:$E$84,5)</f>
        <v>Mantener en funcionamiento los 3 Centros Vida con la prestacion de servicios integrales y/o dotacion de los mismos cumpliendo con la oferta institucional.</v>
      </c>
      <c r="C692" s="14">
        <v>2020680010040</v>
      </c>
      <c r="D692" s="14" t="str">
        <f>+VLOOKUP(C692,'[1]PA 2023'!$G$8:$H$84,2,FALSE)</f>
        <v>IMPLEMENTACIÓN DE ACCIONES TENDIENTES A MEJORAR LAS CONDICIONES DE LOS ADULTOS MAYORES DEL MUNICIPIO DE BUCARAMANGA</v>
      </c>
      <c r="E692" s="13" t="s">
        <v>633</v>
      </c>
      <c r="F692" s="15">
        <v>2553</v>
      </c>
      <c r="G692" s="21" t="s">
        <v>35</v>
      </c>
      <c r="H692" s="21" t="s">
        <v>36</v>
      </c>
      <c r="I692" s="13" t="s">
        <v>1585</v>
      </c>
      <c r="J692" s="13" t="s">
        <v>574</v>
      </c>
      <c r="K692" s="16">
        <v>45098</v>
      </c>
      <c r="L692" s="17">
        <v>10000000</v>
      </c>
      <c r="M692" s="17">
        <v>10000000</v>
      </c>
      <c r="N692" s="18">
        <f>666666.67+2000000+2000000</f>
        <v>4666666.67</v>
      </c>
      <c r="O692" s="22" t="s">
        <v>1586</v>
      </c>
      <c r="Q692" s="13">
        <v>6852</v>
      </c>
      <c r="R692" s="13" t="s">
        <v>26</v>
      </c>
      <c r="S692" s="13" t="s">
        <v>787</v>
      </c>
      <c r="T692" s="13" t="s">
        <v>16</v>
      </c>
      <c r="U692" s="17">
        <f t="shared" si="24"/>
        <v>5333333.33</v>
      </c>
    </row>
    <row r="693" spans="1:21" x14ac:dyDescent="0.3">
      <c r="A693" s="13">
        <v>93</v>
      </c>
      <c r="B693" s="13" t="str">
        <f>+VLOOKUP(A693,'[1]PA 2023'!$A$8:$E$84,5)</f>
        <v>Mantener en funcionamiento los 3 Centros Vida con la prestacion de servicios integrales y/o dotacion de los mismos cumpliendo con la oferta institucional.</v>
      </c>
      <c r="C693" s="14">
        <v>2020680010040</v>
      </c>
      <c r="D693" s="14" t="str">
        <f>+VLOOKUP(C693,'[1]PA 2023'!$G$8:$H$84,2,FALSE)</f>
        <v>IMPLEMENTACIÓN DE ACCIONES TENDIENTES A MEJORAR LAS CONDICIONES DE LOS ADULTOS MAYORES DEL MUNICIPIO DE BUCARAMANGA</v>
      </c>
      <c r="E693" s="13" t="s">
        <v>1587</v>
      </c>
      <c r="F693" s="15">
        <v>2563</v>
      </c>
      <c r="G693" s="21" t="s">
        <v>43</v>
      </c>
      <c r="H693" s="21" t="s">
        <v>36</v>
      </c>
      <c r="I693" s="13" t="s">
        <v>622</v>
      </c>
      <c r="J693" s="13" t="s">
        <v>1554</v>
      </c>
      <c r="K693" s="16">
        <v>45098</v>
      </c>
      <c r="L693" s="17">
        <v>17500000</v>
      </c>
      <c r="M693" s="17">
        <v>17500000</v>
      </c>
      <c r="N693" s="18">
        <f>1166666.67+3500000+3500000</f>
        <v>8166666.6699999999</v>
      </c>
      <c r="O693" s="22" t="s">
        <v>1588</v>
      </c>
      <c r="Q693" s="13">
        <v>6856</v>
      </c>
      <c r="R693" s="13" t="s">
        <v>1556</v>
      </c>
      <c r="S693" s="13" t="s">
        <v>624</v>
      </c>
      <c r="T693" s="13" t="s">
        <v>16</v>
      </c>
      <c r="U693" s="17">
        <f t="shared" si="24"/>
        <v>9333333.3300000001</v>
      </c>
    </row>
    <row r="694" spans="1:21" x14ac:dyDescent="0.3">
      <c r="A694" s="13">
        <v>93</v>
      </c>
      <c r="B694" s="13" t="str">
        <f>+VLOOKUP(A694,'[1]PA 2023'!$A$8:$E$84,5)</f>
        <v>Mantener en funcionamiento los 3 Centros Vida con la prestacion de servicios integrales y/o dotacion de los mismos cumpliendo con la oferta institucional.</v>
      </c>
      <c r="C694" s="14">
        <v>2020680010040</v>
      </c>
      <c r="D694" s="14" t="str">
        <f>+VLOOKUP(C694,'[1]PA 2023'!$G$8:$H$84,2,FALSE)</f>
        <v>IMPLEMENTACIÓN DE ACCIONES TENDIENTES A MEJORAR LAS CONDICIONES DE LOS ADULTOS MAYORES DEL MUNICIPIO DE BUCARAMANGA</v>
      </c>
      <c r="E694" s="13" t="s">
        <v>737</v>
      </c>
      <c r="F694" s="15">
        <v>2562</v>
      </c>
      <c r="G694" s="21" t="s">
        <v>43</v>
      </c>
      <c r="H694" s="21" t="s">
        <v>36</v>
      </c>
      <c r="I694" s="13" t="s">
        <v>798</v>
      </c>
      <c r="J694" s="13" t="s">
        <v>1554</v>
      </c>
      <c r="K694" s="16">
        <v>45098</v>
      </c>
      <c r="L694" s="17">
        <v>15000000</v>
      </c>
      <c r="M694" s="17">
        <v>15000000</v>
      </c>
      <c r="N694" s="18">
        <f>1000000+3000000+3000000</f>
        <v>7000000</v>
      </c>
      <c r="O694" s="22" t="s">
        <v>1589</v>
      </c>
      <c r="Q694" s="13">
        <v>6857</v>
      </c>
      <c r="R694" s="13" t="s">
        <v>1556</v>
      </c>
      <c r="S694" s="13" t="s">
        <v>800</v>
      </c>
      <c r="T694" s="13" t="s">
        <v>16</v>
      </c>
      <c r="U694" s="17">
        <f t="shared" si="24"/>
        <v>8000000</v>
      </c>
    </row>
    <row r="695" spans="1:21" x14ac:dyDescent="0.3">
      <c r="A695" s="13">
        <v>90</v>
      </c>
      <c r="B695" s="13" t="str">
        <f>+VLOOKUP(A695,'[1]PA 2023'!$A$8:$E$84,5)</f>
        <v>Beneficiar a 7.000 personas mayores vulnerables de los diferentes barrios del municipio con la oferta de servicios de atencion primaria en salud, recreacion y aprovechamiento del tiempo libre.</v>
      </c>
      <c r="C695" s="14">
        <v>2020680010040</v>
      </c>
      <c r="D695" s="14" t="str">
        <f>+VLOOKUP(C695,'[1]PA 2023'!$G$8:$H$84,2,FALSE)</f>
        <v>IMPLEMENTACIÓN DE ACCIONES TENDIENTES A MEJORAR LAS CONDICIONES DE LOS ADULTOS MAYORES DEL MUNICIPIO DE BUCARAMANGA</v>
      </c>
      <c r="E695" s="13" t="s">
        <v>1590</v>
      </c>
      <c r="F695" s="15">
        <v>2554</v>
      </c>
      <c r="G695" s="21" t="s">
        <v>43</v>
      </c>
      <c r="H695" s="21" t="s">
        <v>36</v>
      </c>
      <c r="I695" s="13" t="s">
        <v>626</v>
      </c>
      <c r="J695" s="13" t="s">
        <v>574</v>
      </c>
      <c r="K695" s="16">
        <v>45098</v>
      </c>
      <c r="L695" s="17">
        <v>20000000</v>
      </c>
      <c r="M695" s="17">
        <v>20000000</v>
      </c>
      <c r="N695" s="18">
        <f>1333333.33+4000000+4000000</f>
        <v>9333333.3300000001</v>
      </c>
      <c r="O695" s="22" t="s">
        <v>1591</v>
      </c>
      <c r="Q695" s="13">
        <v>6858</v>
      </c>
      <c r="R695" s="13" t="s">
        <v>26</v>
      </c>
      <c r="S695" s="13" t="s">
        <v>628</v>
      </c>
      <c r="T695" s="13" t="s">
        <v>16</v>
      </c>
      <c r="U695" s="17">
        <f t="shared" si="24"/>
        <v>10666666.67</v>
      </c>
    </row>
    <row r="696" spans="1:21" x14ac:dyDescent="0.3">
      <c r="A696" s="13">
        <v>93</v>
      </c>
      <c r="B696" s="13" t="str">
        <f>+VLOOKUP(A696,'[1]PA 2023'!$A$8:$E$84,5)</f>
        <v>Mantener en funcionamiento los 3 Centros Vida con la prestacion de servicios integrales y/o dotacion de los mismos cumpliendo con la oferta institucional.</v>
      </c>
      <c r="C696" s="14">
        <v>2020680010040</v>
      </c>
      <c r="D696" s="14" t="str">
        <f>+VLOOKUP(C696,'[1]PA 2023'!$G$8:$H$84,2,FALSE)</f>
        <v>IMPLEMENTACIÓN DE ACCIONES TENDIENTES A MEJORAR LAS CONDICIONES DE LOS ADULTOS MAYORES DEL MUNICIPIO DE BUCARAMANGA</v>
      </c>
      <c r="E696" s="13" t="s">
        <v>1592</v>
      </c>
      <c r="F696" s="15">
        <v>2561</v>
      </c>
      <c r="G696" s="22" t="s">
        <v>43</v>
      </c>
      <c r="H696" s="21" t="s">
        <v>36</v>
      </c>
      <c r="I696" s="13" t="s">
        <v>890</v>
      </c>
      <c r="J696" s="13" t="s">
        <v>1554</v>
      </c>
      <c r="K696" s="16">
        <v>45098</v>
      </c>
      <c r="L696" s="17">
        <v>15000000</v>
      </c>
      <c r="M696" s="17">
        <v>15000000</v>
      </c>
      <c r="N696" s="18">
        <f>1000000+3000000+3000000</f>
        <v>7000000</v>
      </c>
      <c r="O696" s="22" t="s">
        <v>1593</v>
      </c>
      <c r="Q696" s="13">
        <v>6859</v>
      </c>
      <c r="R696" s="13" t="s">
        <v>1556</v>
      </c>
      <c r="S696" s="13" t="s">
        <v>892</v>
      </c>
      <c r="T696" s="13" t="s">
        <v>16</v>
      </c>
      <c r="U696" s="17">
        <f t="shared" si="24"/>
        <v>8000000</v>
      </c>
    </row>
    <row r="697" spans="1:21" x14ac:dyDescent="0.3">
      <c r="A697" s="13">
        <v>110</v>
      </c>
      <c r="B697" s="13" t="str">
        <f>+VLOOKUP(A697,'[1]PA 2023'!$A$8:$E$84,5)</f>
        <v>Atender el 100% de la solicitudes realizadas por éste grupo poblacional y sus familias con orientación psicosocial y jurídica.</v>
      </c>
      <c r="C697" s="14">
        <v>2020680010106</v>
      </c>
      <c r="D697" s="14" t="str">
        <f>+VLOOKUP(C697,'[1]PA 2023'!$G$8:$H$84,2,FALSE)</f>
        <v>FORTALECIMIENTO DE ESPACIOS DE PARTICIPACIÓN Y PREVENCIÓN DE VIOLENCIAS EN MUJERES Y POBLACIÓN CON ORIENTACIONES SEXUALES E IDENTIDADES DE GÉNERO DIVERSAS DEL MUNICIPIO DE BUCARAMANGA</v>
      </c>
      <c r="E697" s="13" t="s">
        <v>1594</v>
      </c>
      <c r="F697" s="15">
        <v>2559</v>
      </c>
      <c r="G697" s="21" t="s">
        <v>43</v>
      </c>
      <c r="H697" s="21" t="s">
        <v>36</v>
      </c>
      <c r="I697" s="13" t="s">
        <v>475</v>
      </c>
      <c r="J697" s="13" t="s">
        <v>378</v>
      </c>
      <c r="K697" s="16">
        <v>45098</v>
      </c>
      <c r="L697" s="17">
        <v>20000000</v>
      </c>
      <c r="M697" s="17">
        <v>20000000</v>
      </c>
      <c r="N697" s="18">
        <f>1333333.33+4000000</f>
        <v>5333333.33</v>
      </c>
      <c r="O697" s="22" t="s">
        <v>1595</v>
      </c>
      <c r="Q697" s="13">
        <v>6860</v>
      </c>
      <c r="R697" s="23" t="s">
        <v>380</v>
      </c>
      <c r="S697" s="13" t="s">
        <v>477</v>
      </c>
      <c r="T697" s="13" t="s">
        <v>16</v>
      </c>
      <c r="U697" s="17">
        <f>+M697-N697+M862</f>
        <v>29666666.670000002</v>
      </c>
    </row>
    <row r="698" spans="1:21" x14ac:dyDescent="0.3">
      <c r="A698" s="13">
        <v>74</v>
      </c>
      <c r="B698" s="13" t="str">
        <f>+VLOOKUP(A698,'[1]PA 2023'!$A$8:$E$84,5)</f>
        <v>Formular e implementar 1 estrategia para el fomento de prácticas de autoprotección y cuidado en niños y niñas para la prevención de conductas de riesgo (consumo de SPA, acciones delictivas, abandono familiar y escolar).</v>
      </c>
      <c r="C698" s="14">
        <v>2021680010003</v>
      </c>
      <c r="D698" s="14" t="str">
        <f>+VLOOKUP(C698,'[1]PA 2023'!$G$8:$H$84,2,FALSE)</f>
        <v>IMPLEMENTACIÓN DE ESTRATEGIAS PSICOPEDAGÓGICAS PARA LA DISMINUCIÓN DE FACTORES DE RIESGO EN NIÑOS, NIÑAS Y ADOLESCENTES EN EL MUNICIPIO DE BUCARAMANGA</v>
      </c>
      <c r="E698" s="13" t="s">
        <v>322</v>
      </c>
      <c r="F698" s="15">
        <v>2570</v>
      </c>
      <c r="G698" s="21" t="s">
        <v>43</v>
      </c>
      <c r="H698" s="21" t="s">
        <v>36</v>
      </c>
      <c r="I698" s="13" t="s">
        <v>323</v>
      </c>
      <c r="J698" s="13" t="s">
        <v>1578</v>
      </c>
      <c r="K698" s="16">
        <v>45098</v>
      </c>
      <c r="L698" s="17">
        <v>14000000</v>
      </c>
      <c r="M698" s="17">
        <v>14000000</v>
      </c>
      <c r="N698" s="18">
        <f>933333.33+2800000+2800000</f>
        <v>6533333.3300000001</v>
      </c>
      <c r="O698" s="22" t="s">
        <v>1596</v>
      </c>
      <c r="Q698" s="13">
        <v>6870</v>
      </c>
      <c r="R698" s="13" t="s">
        <v>1580</v>
      </c>
      <c r="S698" s="13" t="s">
        <v>325</v>
      </c>
      <c r="T698" s="13" t="s">
        <v>16</v>
      </c>
      <c r="U698" s="17">
        <f t="shared" ref="U698:U761" si="25">+M698-N698</f>
        <v>7466666.6699999999</v>
      </c>
    </row>
    <row r="699" spans="1:21" x14ac:dyDescent="0.3">
      <c r="A699" s="13">
        <v>283</v>
      </c>
      <c r="B699" s="13" t="str">
        <f>+VLOOKUP(A699,'[1]PA 2023'!$A$8:$E$84,5)</f>
        <v>Formular e implementar 1 estrategia que fortalezca la democracia participativa (Ley 1757 de 2015).</v>
      </c>
      <c r="C699" s="14">
        <v>2022680010029</v>
      </c>
      <c r="D699" s="14" t="str">
        <f>+VLOOKUP(C699,'[1]PA 2023'!$G$8:$H$84,2,FALSE)</f>
        <v>FORTALECIMIENTO DE LA PARTICIPACIÓN CIUDADANA EN EL MUNICIPIO DE BUCARAMANGA</v>
      </c>
      <c r="E699" s="13" t="s">
        <v>1597</v>
      </c>
      <c r="F699" s="15">
        <v>2568</v>
      </c>
      <c r="G699" s="21" t="s">
        <v>43</v>
      </c>
      <c r="H699" s="21" t="s">
        <v>36</v>
      </c>
      <c r="I699" s="13" t="s">
        <v>1207</v>
      </c>
      <c r="J699" s="13" t="s">
        <v>1505</v>
      </c>
      <c r="K699" s="16">
        <v>45098</v>
      </c>
      <c r="L699" s="17">
        <v>18000000</v>
      </c>
      <c r="M699" s="17">
        <v>18000000</v>
      </c>
      <c r="N699" s="18">
        <f>1000000+3000000+3000000</f>
        <v>7000000</v>
      </c>
      <c r="O699" s="22" t="s">
        <v>1598</v>
      </c>
      <c r="Q699" s="13">
        <v>6871</v>
      </c>
      <c r="R699" s="13" t="s">
        <v>1462</v>
      </c>
      <c r="S699" s="13" t="s">
        <v>1209</v>
      </c>
      <c r="T699" s="13" t="s">
        <v>16</v>
      </c>
      <c r="U699" s="17">
        <f t="shared" si="25"/>
        <v>11000000</v>
      </c>
    </row>
    <row r="700" spans="1:21" x14ac:dyDescent="0.3">
      <c r="A700" s="13">
        <v>78</v>
      </c>
      <c r="B700" s="13" t="str">
        <f>+VLOOKUP(A700,'[1]PA 2023'!$A$8:$E$84,5)</f>
        <v>Formular e implementar 1 ruta de atención integral para niños, niñas, adolescentes refugiados y migrantes y sus familias.</v>
      </c>
      <c r="C700" s="14">
        <v>2022680010056</v>
      </c>
      <c r="D700" s="14" t="str">
        <f>+VLOOKUP(C700,'[1]PA 2023'!$G$8:$H$84,2,FALSE)</f>
        <v>APOYO EN LOS PROCESOS DE ATENCIÓN INTEGRAL DE LOS NIÑOS Y NIÑAS EN EL ESPACIO DE CUIDADO Y ALBERGUE "CASA BÚHO" EN EL MUNICIPIO DE BUCARAMANGA</v>
      </c>
      <c r="E700" s="13" t="s">
        <v>1599</v>
      </c>
      <c r="F700" s="15" t="s">
        <v>22</v>
      </c>
      <c r="G700" s="22" t="s">
        <v>23</v>
      </c>
      <c r="H700" s="21" t="s">
        <v>23</v>
      </c>
      <c r="I700" s="13" t="s">
        <v>24</v>
      </c>
      <c r="J700" s="13" t="s">
        <v>970</v>
      </c>
      <c r="K700" s="16">
        <v>45098</v>
      </c>
      <c r="L700" s="17">
        <v>298760</v>
      </c>
      <c r="M700" s="17">
        <v>298760</v>
      </c>
      <c r="N700" s="18">
        <v>298760</v>
      </c>
      <c r="O700" s="15" t="s">
        <v>23</v>
      </c>
      <c r="Q700" s="13">
        <v>6877</v>
      </c>
      <c r="R700" s="13" t="s">
        <v>170</v>
      </c>
      <c r="S700" s="13" t="s">
        <v>27</v>
      </c>
      <c r="T700" s="13" t="s">
        <v>16</v>
      </c>
      <c r="U700" s="17">
        <f t="shared" si="25"/>
        <v>0</v>
      </c>
    </row>
    <row r="701" spans="1:21" x14ac:dyDescent="0.3">
      <c r="A701" s="13">
        <v>285</v>
      </c>
      <c r="B701" s="13" t="str">
        <f>+VLOOKUP(A701,'[1]PA 2023'!$A$8:$E$84,5)</f>
        <v>Mantener en funcionamiento el 100% de los salones comunales que hacen parte del programa Ágoras.</v>
      </c>
      <c r="C701" s="14">
        <v>2022680010029</v>
      </c>
      <c r="D701" s="14" t="str">
        <f>+VLOOKUP(C701,'[1]PA 2023'!$G$8:$H$84,2,FALSE)</f>
        <v>FORTALECIMIENTO DE LA PARTICIPACIÓN CIUDADANA EN EL MUNICIPIO DE BUCARAMANGA</v>
      </c>
      <c r="E701" s="13" t="s">
        <v>1600</v>
      </c>
      <c r="F701" s="15" t="s">
        <v>22</v>
      </c>
      <c r="G701" s="22" t="s">
        <v>23</v>
      </c>
      <c r="H701" s="21" t="s">
        <v>23</v>
      </c>
      <c r="I701" s="13" t="s">
        <v>24</v>
      </c>
      <c r="J701" s="13" t="s">
        <v>1130</v>
      </c>
      <c r="K701" s="16">
        <v>45098</v>
      </c>
      <c r="L701" s="17">
        <v>169450</v>
      </c>
      <c r="M701" s="17">
        <v>169450</v>
      </c>
      <c r="N701" s="18">
        <v>169450</v>
      </c>
      <c r="O701" s="15" t="s">
        <v>23</v>
      </c>
      <c r="Q701" s="13">
        <v>6878</v>
      </c>
      <c r="R701" s="13" t="s">
        <v>134</v>
      </c>
      <c r="S701" s="13" t="s">
        <v>27</v>
      </c>
      <c r="T701" s="13" t="s">
        <v>16</v>
      </c>
      <c r="U701" s="17">
        <f t="shared" si="25"/>
        <v>0</v>
      </c>
    </row>
    <row r="702" spans="1:21" x14ac:dyDescent="0.3">
      <c r="A702" s="13">
        <v>93</v>
      </c>
      <c r="B702" s="13" t="str">
        <f>+VLOOKUP(A702,'[1]PA 2023'!$A$8:$E$84,5)</f>
        <v>Mantener en funcionamiento los 3 Centros Vida con la prestacion de servicios integrales y/o dotacion de los mismos cumpliendo con la oferta institucional.</v>
      </c>
      <c r="C702" s="14">
        <v>2020680010040</v>
      </c>
      <c r="D702" s="14" t="str">
        <f>+VLOOKUP(C702,'[1]PA 2023'!$G$8:$H$84,2,FALSE)</f>
        <v>IMPLEMENTACIÓN DE ACCIONES TENDIENTES A MEJORAR LAS CONDICIONES DE LOS ADULTOS MAYORES DEL MUNICIPIO DE BUCARAMANGA</v>
      </c>
      <c r="E702" s="13" t="s">
        <v>1601</v>
      </c>
      <c r="F702" s="15" t="s">
        <v>22</v>
      </c>
      <c r="G702" s="22" t="s">
        <v>23</v>
      </c>
      <c r="H702" s="21" t="s">
        <v>23</v>
      </c>
      <c r="I702" s="13" t="s">
        <v>24</v>
      </c>
      <c r="J702" s="13" t="s">
        <v>25</v>
      </c>
      <c r="K702" s="16">
        <v>45098</v>
      </c>
      <c r="L702" s="17">
        <v>690990</v>
      </c>
      <c r="M702" s="17">
        <v>690990</v>
      </c>
      <c r="N702" s="18">
        <v>690990</v>
      </c>
      <c r="O702" s="15" t="s">
        <v>23</v>
      </c>
      <c r="Q702" s="13">
        <v>6879</v>
      </c>
      <c r="R702" s="13" t="s">
        <v>26</v>
      </c>
      <c r="S702" s="13" t="s">
        <v>27</v>
      </c>
      <c r="T702" s="13" t="s">
        <v>16</v>
      </c>
      <c r="U702" s="17">
        <f t="shared" si="25"/>
        <v>0</v>
      </c>
    </row>
    <row r="703" spans="1:21" x14ac:dyDescent="0.3">
      <c r="A703" s="13">
        <v>286</v>
      </c>
      <c r="B703" s="13" t="str">
        <f>+VLOOKUP(A703,'[1]PA 2023'!$A$8:$E$84,5)</f>
        <v>Mantener el beneficio al 100% de los ediles con pago de EPS, ARL, póliza de vida y dotación.</v>
      </c>
      <c r="C703" s="14">
        <v>2022680010029</v>
      </c>
      <c r="D703" s="14" t="str">
        <f>+VLOOKUP(C703,'[1]PA 2023'!$G$8:$H$84,2,FALSE)</f>
        <v>FORTALECIMIENTO DE LA PARTICIPACIÓN CIUDADANA EN EL MUNICIPIO DE BUCARAMANGA</v>
      </c>
      <c r="E703" s="13" t="s">
        <v>1602</v>
      </c>
      <c r="F703" s="15" t="s">
        <v>22</v>
      </c>
      <c r="G703" s="22" t="s">
        <v>23</v>
      </c>
      <c r="H703" s="21" t="s">
        <v>23</v>
      </c>
      <c r="I703" s="13" t="s">
        <v>132</v>
      </c>
      <c r="J703" s="13" t="s">
        <v>1603</v>
      </c>
      <c r="K703" s="16">
        <v>45098</v>
      </c>
      <c r="L703" s="17">
        <v>719000</v>
      </c>
      <c r="M703" s="17">
        <v>719000</v>
      </c>
      <c r="N703" s="18">
        <v>719000</v>
      </c>
      <c r="O703" s="15" t="s">
        <v>23</v>
      </c>
      <c r="Q703" s="13">
        <v>6890</v>
      </c>
      <c r="R703" s="13" t="s">
        <v>1462</v>
      </c>
      <c r="S703" s="13" t="s">
        <v>135</v>
      </c>
      <c r="T703" s="13" t="s">
        <v>16</v>
      </c>
      <c r="U703" s="17">
        <f t="shared" si="25"/>
        <v>0</v>
      </c>
    </row>
    <row r="704" spans="1:21" x14ac:dyDescent="0.3">
      <c r="A704" s="13">
        <v>286</v>
      </c>
      <c r="B704" s="13" t="str">
        <f>+VLOOKUP(A704,'[1]PA 2023'!$A$8:$E$84,5)</f>
        <v>Mantener el beneficio al 100% de los ediles con pago de EPS, ARL, póliza de vida y dotación.</v>
      </c>
      <c r="C704" s="14">
        <v>2022680010029</v>
      </c>
      <c r="D704" s="14" t="str">
        <f>+VLOOKUP(C704,'[1]PA 2023'!$G$8:$H$84,2,FALSE)</f>
        <v>FORTALECIMIENTO DE LA PARTICIPACIÓN CIUDADANA EN EL MUNICIPIO DE BUCARAMANGA</v>
      </c>
      <c r="E704" s="13" t="s">
        <v>1604</v>
      </c>
      <c r="F704" s="15" t="s">
        <v>22</v>
      </c>
      <c r="G704" s="22" t="s">
        <v>23</v>
      </c>
      <c r="H704" s="21" t="s">
        <v>23</v>
      </c>
      <c r="I704" s="13" t="s">
        <v>137</v>
      </c>
      <c r="J704" s="13" t="s">
        <v>1603</v>
      </c>
      <c r="K704" s="16">
        <v>45098</v>
      </c>
      <c r="L704" s="17">
        <v>850700</v>
      </c>
      <c r="M704" s="17">
        <v>850700</v>
      </c>
      <c r="N704" s="18">
        <v>850700</v>
      </c>
      <c r="O704" s="15" t="s">
        <v>23</v>
      </c>
      <c r="Q704" s="13">
        <v>6891</v>
      </c>
      <c r="R704" s="13" t="s">
        <v>1462</v>
      </c>
      <c r="S704" s="13" t="s">
        <v>138</v>
      </c>
      <c r="T704" s="13" t="s">
        <v>16</v>
      </c>
      <c r="U704" s="17">
        <f t="shared" si="25"/>
        <v>0</v>
      </c>
    </row>
    <row r="705" spans="1:21" x14ac:dyDescent="0.3">
      <c r="A705" s="13">
        <v>286</v>
      </c>
      <c r="B705" s="13" t="str">
        <f>+VLOOKUP(A705,'[1]PA 2023'!$A$8:$E$84,5)</f>
        <v>Mantener el beneficio al 100% de los ediles con pago de EPS, ARL, póliza de vida y dotación.</v>
      </c>
      <c r="C705" s="14">
        <v>2022680010029</v>
      </c>
      <c r="D705" s="14" t="str">
        <f>+VLOOKUP(C705,'[1]PA 2023'!$G$8:$H$84,2,FALSE)</f>
        <v>FORTALECIMIENTO DE LA PARTICIPACIÓN CIUDADANA EN EL MUNICIPIO DE BUCARAMANGA</v>
      </c>
      <c r="E705" s="13" t="s">
        <v>1604</v>
      </c>
      <c r="F705" s="15" t="s">
        <v>22</v>
      </c>
      <c r="G705" s="22" t="s">
        <v>23</v>
      </c>
      <c r="H705" s="21" t="s">
        <v>23</v>
      </c>
      <c r="I705" s="13" t="s">
        <v>139</v>
      </c>
      <c r="J705" s="13" t="s">
        <v>1603</v>
      </c>
      <c r="K705" s="16">
        <v>45098</v>
      </c>
      <c r="L705" s="17">
        <v>870000</v>
      </c>
      <c r="M705" s="17">
        <v>870000</v>
      </c>
      <c r="N705" s="18">
        <v>870000</v>
      </c>
      <c r="O705" s="15" t="s">
        <v>23</v>
      </c>
      <c r="Q705" s="13">
        <v>6892</v>
      </c>
      <c r="R705" s="13" t="s">
        <v>1462</v>
      </c>
      <c r="S705" s="13" t="s">
        <v>140</v>
      </c>
      <c r="T705" s="13" t="s">
        <v>16</v>
      </c>
      <c r="U705" s="17">
        <f t="shared" si="25"/>
        <v>0</v>
      </c>
    </row>
    <row r="706" spans="1:21" x14ac:dyDescent="0.3">
      <c r="A706" s="13">
        <v>286</v>
      </c>
      <c r="B706" s="13" t="str">
        <f>+VLOOKUP(A706,'[1]PA 2023'!$A$8:$E$84,5)</f>
        <v>Mantener el beneficio al 100% de los ediles con pago de EPS, ARL, póliza de vida y dotación.</v>
      </c>
      <c r="C706" s="14">
        <v>2022680010029</v>
      </c>
      <c r="D706" s="14" t="str">
        <f>+VLOOKUP(C706,'[1]PA 2023'!$G$8:$H$84,2,FALSE)</f>
        <v>FORTALECIMIENTO DE LA PARTICIPACIÓN CIUDADANA EN EL MUNICIPIO DE BUCARAMANGA</v>
      </c>
      <c r="E706" s="13" t="s">
        <v>1604</v>
      </c>
      <c r="F706" s="15" t="s">
        <v>22</v>
      </c>
      <c r="G706" s="22" t="s">
        <v>23</v>
      </c>
      <c r="H706" s="21" t="s">
        <v>23</v>
      </c>
      <c r="I706" s="13" t="s">
        <v>139</v>
      </c>
      <c r="J706" s="13" t="s">
        <v>1603</v>
      </c>
      <c r="K706" s="16">
        <v>45098</v>
      </c>
      <c r="L706" s="17">
        <v>435000</v>
      </c>
      <c r="M706" s="17">
        <v>435000</v>
      </c>
      <c r="N706" s="18">
        <v>435000</v>
      </c>
      <c r="O706" s="15" t="s">
        <v>23</v>
      </c>
      <c r="Q706" s="13">
        <v>6893</v>
      </c>
      <c r="R706" s="13" t="s">
        <v>1462</v>
      </c>
      <c r="S706" s="13" t="s">
        <v>140</v>
      </c>
      <c r="T706" s="13" t="s">
        <v>16</v>
      </c>
      <c r="U706" s="17">
        <f t="shared" si="25"/>
        <v>0</v>
      </c>
    </row>
    <row r="707" spans="1:21" x14ac:dyDescent="0.3">
      <c r="A707" s="13">
        <v>286</v>
      </c>
      <c r="B707" s="13" t="str">
        <f>+VLOOKUP(A707,'[1]PA 2023'!$A$8:$E$84,5)</f>
        <v>Mantener el beneficio al 100% de los ediles con pago de EPS, ARL, póliza de vida y dotación.</v>
      </c>
      <c r="C707" s="14">
        <v>2022680010029</v>
      </c>
      <c r="D707" s="14" t="str">
        <f>+VLOOKUP(C707,'[1]PA 2023'!$G$8:$H$84,2,FALSE)</f>
        <v>FORTALECIMIENTO DE LA PARTICIPACIÓN CIUDADANA EN EL MUNICIPIO DE BUCARAMANGA</v>
      </c>
      <c r="E707" s="13" t="s">
        <v>1604</v>
      </c>
      <c r="F707" s="15" t="s">
        <v>22</v>
      </c>
      <c r="G707" s="22" t="s">
        <v>23</v>
      </c>
      <c r="H707" s="21" t="s">
        <v>23</v>
      </c>
      <c r="I707" s="13" t="s">
        <v>141</v>
      </c>
      <c r="J707" s="13" t="s">
        <v>1603</v>
      </c>
      <c r="K707" s="16">
        <v>45098</v>
      </c>
      <c r="L707" s="17">
        <v>1740000</v>
      </c>
      <c r="M707" s="17">
        <v>1740000</v>
      </c>
      <c r="N707" s="18">
        <v>1740000</v>
      </c>
      <c r="O707" s="15" t="s">
        <v>23</v>
      </c>
      <c r="Q707" s="13">
        <v>6894</v>
      </c>
      <c r="R707" s="13" t="s">
        <v>1462</v>
      </c>
      <c r="S707" s="13" t="s">
        <v>142</v>
      </c>
      <c r="T707" s="13" t="s">
        <v>16</v>
      </c>
      <c r="U707" s="17">
        <f t="shared" si="25"/>
        <v>0</v>
      </c>
    </row>
    <row r="708" spans="1:21" x14ac:dyDescent="0.3">
      <c r="A708" s="13">
        <v>286</v>
      </c>
      <c r="B708" s="13" t="str">
        <f>+VLOOKUP(A708,'[1]PA 2023'!$A$8:$E$84,5)</f>
        <v>Mantener el beneficio al 100% de los ediles con pago de EPS, ARL, póliza de vida y dotación.</v>
      </c>
      <c r="C708" s="14">
        <v>2022680010029</v>
      </c>
      <c r="D708" s="14" t="str">
        <f>+VLOOKUP(C708,'[1]PA 2023'!$G$8:$H$84,2,FALSE)</f>
        <v>FORTALECIMIENTO DE LA PARTICIPACIÓN CIUDADANA EN EL MUNICIPIO DE BUCARAMANGA</v>
      </c>
      <c r="E708" s="13" t="s">
        <v>1604</v>
      </c>
      <c r="F708" s="15" t="s">
        <v>22</v>
      </c>
      <c r="G708" s="22" t="s">
        <v>23</v>
      </c>
      <c r="H708" s="21" t="s">
        <v>23</v>
      </c>
      <c r="I708" s="13" t="s">
        <v>143</v>
      </c>
      <c r="J708" s="13" t="s">
        <v>1603</v>
      </c>
      <c r="K708" s="16">
        <v>45098</v>
      </c>
      <c r="L708" s="17">
        <v>1015000</v>
      </c>
      <c r="M708" s="17">
        <v>1015000</v>
      </c>
      <c r="N708" s="18">
        <v>1015000</v>
      </c>
      <c r="O708" s="15" t="s">
        <v>23</v>
      </c>
      <c r="Q708" s="13">
        <v>6895</v>
      </c>
      <c r="R708" s="13" t="s">
        <v>1462</v>
      </c>
      <c r="S708" s="13" t="s">
        <v>144</v>
      </c>
      <c r="T708" s="13" t="s">
        <v>16</v>
      </c>
      <c r="U708" s="17">
        <f t="shared" si="25"/>
        <v>0</v>
      </c>
    </row>
    <row r="709" spans="1:21" x14ac:dyDescent="0.3">
      <c r="A709" s="13">
        <v>286</v>
      </c>
      <c r="B709" s="13" t="str">
        <f>+VLOOKUP(A709,'[1]PA 2023'!$A$8:$E$84,5)</f>
        <v>Mantener el beneficio al 100% de los ediles con pago de EPS, ARL, póliza de vida y dotación.</v>
      </c>
      <c r="C709" s="14">
        <v>2022680010029</v>
      </c>
      <c r="D709" s="14" t="str">
        <f>+VLOOKUP(C709,'[1]PA 2023'!$G$8:$H$84,2,FALSE)</f>
        <v>FORTALECIMIENTO DE LA PARTICIPACIÓN CIUDADANA EN EL MUNICIPIO DE BUCARAMANGA</v>
      </c>
      <c r="E709" s="13" t="s">
        <v>1604</v>
      </c>
      <c r="F709" s="15" t="s">
        <v>22</v>
      </c>
      <c r="G709" s="22" t="s">
        <v>23</v>
      </c>
      <c r="H709" s="21" t="s">
        <v>23</v>
      </c>
      <c r="I709" s="13" t="s">
        <v>145</v>
      </c>
      <c r="J709" s="13" t="s">
        <v>1603</v>
      </c>
      <c r="K709" s="16">
        <v>45098</v>
      </c>
      <c r="L709" s="17">
        <v>580000</v>
      </c>
      <c r="M709" s="17">
        <v>580000</v>
      </c>
      <c r="N709" s="18">
        <v>580000</v>
      </c>
      <c r="O709" s="15" t="s">
        <v>23</v>
      </c>
      <c r="Q709" s="13">
        <v>6896</v>
      </c>
      <c r="R709" s="13" t="s">
        <v>1462</v>
      </c>
      <c r="S709" s="13" t="s">
        <v>146</v>
      </c>
      <c r="T709" s="13" t="s">
        <v>16</v>
      </c>
      <c r="U709" s="17">
        <f t="shared" si="25"/>
        <v>0</v>
      </c>
    </row>
    <row r="710" spans="1:21" x14ac:dyDescent="0.3">
      <c r="A710" s="13">
        <v>286</v>
      </c>
      <c r="B710" s="13" t="str">
        <f>+VLOOKUP(A710,'[1]PA 2023'!$A$8:$E$84,5)</f>
        <v>Mantener el beneficio al 100% de los ediles con pago de EPS, ARL, póliza de vida y dotación.</v>
      </c>
      <c r="C710" s="14">
        <v>2022680010029</v>
      </c>
      <c r="D710" s="14" t="str">
        <f>+VLOOKUP(C710,'[1]PA 2023'!$G$8:$H$84,2,FALSE)</f>
        <v>FORTALECIMIENTO DE LA PARTICIPACIÓN CIUDADANA EN EL MUNICIPIO DE BUCARAMANGA</v>
      </c>
      <c r="E710" s="13" t="s">
        <v>1604</v>
      </c>
      <c r="F710" s="15" t="s">
        <v>22</v>
      </c>
      <c r="G710" s="22" t="s">
        <v>23</v>
      </c>
      <c r="H710" s="21" t="s">
        <v>23</v>
      </c>
      <c r="I710" s="13" t="s">
        <v>147</v>
      </c>
      <c r="J710" s="13" t="s">
        <v>1603</v>
      </c>
      <c r="K710" s="16">
        <v>45098</v>
      </c>
      <c r="L710" s="17">
        <v>4495000</v>
      </c>
      <c r="M710" s="17">
        <v>4495000</v>
      </c>
      <c r="N710" s="18">
        <v>4495000</v>
      </c>
      <c r="O710" s="15" t="s">
        <v>23</v>
      </c>
      <c r="Q710" s="13">
        <v>6897</v>
      </c>
      <c r="R710" s="13" t="s">
        <v>1462</v>
      </c>
      <c r="S710" s="13" t="s">
        <v>148</v>
      </c>
      <c r="T710" s="13" t="s">
        <v>16</v>
      </c>
      <c r="U710" s="17">
        <f t="shared" si="25"/>
        <v>0</v>
      </c>
    </row>
    <row r="711" spans="1:21" x14ac:dyDescent="0.3">
      <c r="A711" s="13">
        <v>286</v>
      </c>
      <c r="B711" s="13" t="str">
        <f>+VLOOKUP(A711,'[1]PA 2023'!$A$8:$E$84,5)</f>
        <v>Mantener el beneficio al 100% de los ediles con pago de EPS, ARL, póliza de vida y dotación.</v>
      </c>
      <c r="C711" s="14">
        <v>2022680010029</v>
      </c>
      <c r="D711" s="14" t="str">
        <f>+VLOOKUP(C711,'[1]PA 2023'!$G$8:$H$84,2,FALSE)</f>
        <v>FORTALECIMIENTO DE LA PARTICIPACIÓN CIUDADANA EN EL MUNICIPIO DE BUCARAMANGA</v>
      </c>
      <c r="E711" s="13" t="s">
        <v>1604</v>
      </c>
      <c r="F711" s="15" t="s">
        <v>22</v>
      </c>
      <c r="G711" s="22" t="s">
        <v>23</v>
      </c>
      <c r="H711" s="21" t="s">
        <v>23</v>
      </c>
      <c r="I711" s="13" t="s">
        <v>147</v>
      </c>
      <c r="J711" s="13" t="s">
        <v>1603</v>
      </c>
      <c r="K711" s="16">
        <v>45098</v>
      </c>
      <c r="L711" s="17">
        <v>290000</v>
      </c>
      <c r="M711" s="17">
        <v>290000</v>
      </c>
      <c r="N711" s="18">
        <v>290000</v>
      </c>
      <c r="O711" s="15" t="s">
        <v>23</v>
      </c>
      <c r="Q711" s="13">
        <v>6898</v>
      </c>
      <c r="R711" s="13" t="s">
        <v>1462</v>
      </c>
      <c r="S711" s="13" t="s">
        <v>148</v>
      </c>
      <c r="T711" s="13" t="s">
        <v>16</v>
      </c>
      <c r="U711" s="17">
        <f t="shared" si="25"/>
        <v>0</v>
      </c>
    </row>
    <row r="712" spans="1:21" x14ac:dyDescent="0.3">
      <c r="A712" s="13">
        <v>286</v>
      </c>
      <c r="B712" s="13" t="str">
        <f>+VLOOKUP(A712,'[1]PA 2023'!$A$8:$E$84,5)</f>
        <v>Mantener el beneficio al 100% de los ediles con pago de EPS, ARL, póliza de vida y dotación.</v>
      </c>
      <c r="C712" s="14">
        <v>2022680010029</v>
      </c>
      <c r="D712" s="14" t="str">
        <f>+VLOOKUP(C712,'[1]PA 2023'!$G$8:$H$84,2,FALSE)</f>
        <v>FORTALECIMIENTO DE LA PARTICIPACIÓN CIUDADANA EN EL MUNICIPIO DE BUCARAMANGA</v>
      </c>
      <c r="E712" s="13" t="s">
        <v>1604</v>
      </c>
      <c r="F712" s="15" t="s">
        <v>22</v>
      </c>
      <c r="G712" s="22" t="s">
        <v>23</v>
      </c>
      <c r="H712" s="21" t="s">
        <v>23</v>
      </c>
      <c r="I712" s="13" t="s">
        <v>149</v>
      </c>
      <c r="J712" s="13" t="s">
        <v>1603</v>
      </c>
      <c r="K712" s="16">
        <v>45098</v>
      </c>
      <c r="L712" s="17">
        <v>870000</v>
      </c>
      <c r="M712" s="17">
        <v>870000</v>
      </c>
      <c r="N712" s="18">
        <v>870000</v>
      </c>
      <c r="O712" s="15" t="s">
        <v>23</v>
      </c>
      <c r="Q712" s="13">
        <v>6899</v>
      </c>
      <c r="R712" s="13" t="s">
        <v>1462</v>
      </c>
      <c r="S712" s="13" t="s">
        <v>150</v>
      </c>
      <c r="T712" s="13" t="s">
        <v>16</v>
      </c>
      <c r="U712" s="17">
        <f t="shared" si="25"/>
        <v>0</v>
      </c>
    </row>
    <row r="713" spans="1:21" x14ac:dyDescent="0.3">
      <c r="A713" s="13">
        <v>286</v>
      </c>
      <c r="B713" s="13" t="str">
        <f>+VLOOKUP(A713,'[1]PA 2023'!$A$8:$E$84,5)</f>
        <v>Mantener el beneficio al 100% de los ediles con pago de EPS, ARL, póliza de vida y dotación.</v>
      </c>
      <c r="C713" s="14">
        <v>2022680010029</v>
      </c>
      <c r="D713" s="14" t="str">
        <f>+VLOOKUP(C713,'[1]PA 2023'!$G$8:$H$84,2,FALSE)</f>
        <v>FORTALECIMIENTO DE LA PARTICIPACIÓN CIUDADANA EN EL MUNICIPIO DE BUCARAMANGA</v>
      </c>
      <c r="E713" s="13" t="s">
        <v>1604</v>
      </c>
      <c r="F713" s="15" t="s">
        <v>22</v>
      </c>
      <c r="G713" s="22" t="s">
        <v>23</v>
      </c>
      <c r="H713" s="21" t="s">
        <v>23</v>
      </c>
      <c r="I713" s="13" t="s">
        <v>151</v>
      </c>
      <c r="J713" s="13" t="s">
        <v>1603</v>
      </c>
      <c r="K713" s="16">
        <v>45098</v>
      </c>
      <c r="L713" s="17">
        <v>3335000</v>
      </c>
      <c r="M713" s="17">
        <v>3335000</v>
      </c>
      <c r="N713" s="18">
        <v>3335000</v>
      </c>
      <c r="O713" s="15" t="s">
        <v>23</v>
      </c>
      <c r="Q713" s="13">
        <v>6900</v>
      </c>
      <c r="R713" s="13" t="s">
        <v>1462</v>
      </c>
      <c r="S713" s="13" t="s">
        <v>152</v>
      </c>
      <c r="T713" s="13" t="s">
        <v>16</v>
      </c>
      <c r="U713" s="17">
        <f t="shared" si="25"/>
        <v>0</v>
      </c>
    </row>
    <row r="714" spans="1:21" x14ac:dyDescent="0.3">
      <c r="A714" s="13">
        <v>286</v>
      </c>
      <c r="B714" s="13" t="str">
        <f>+VLOOKUP(A714,'[1]PA 2023'!$A$8:$E$84,5)</f>
        <v>Mantener el beneficio al 100% de los ediles con pago de EPS, ARL, póliza de vida y dotación.</v>
      </c>
      <c r="C714" s="14">
        <v>2022680010029</v>
      </c>
      <c r="D714" s="14" t="str">
        <f>+VLOOKUP(C714,'[1]PA 2023'!$G$8:$H$84,2,FALSE)</f>
        <v>FORTALECIMIENTO DE LA PARTICIPACIÓN CIUDADANA EN EL MUNICIPIO DE BUCARAMANGA</v>
      </c>
      <c r="E714" s="13" t="s">
        <v>1604</v>
      </c>
      <c r="F714" s="15" t="s">
        <v>22</v>
      </c>
      <c r="G714" s="22" t="s">
        <v>23</v>
      </c>
      <c r="H714" s="21" t="s">
        <v>23</v>
      </c>
      <c r="I714" s="13" t="s">
        <v>153</v>
      </c>
      <c r="J714" s="13" t="s">
        <v>1603</v>
      </c>
      <c r="K714" s="16">
        <v>45098</v>
      </c>
      <c r="L714" s="17">
        <v>2610000</v>
      </c>
      <c r="M714" s="17">
        <v>2610000</v>
      </c>
      <c r="N714" s="18">
        <v>2610000</v>
      </c>
      <c r="O714" s="15" t="s">
        <v>23</v>
      </c>
      <c r="Q714" s="13">
        <v>6901</v>
      </c>
      <c r="R714" s="13" t="s">
        <v>1462</v>
      </c>
      <c r="S714" s="13" t="s">
        <v>154</v>
      </c>
      <c r="T714" s="13" t="s">
        <v>16</v>
      </c>
      <c r="U714" s="17">
        <f t="shared" si="25"/>
        <v>0</v>
      </c>
    </row>
    <row r="715" spans="1:21" x14ac:dyDescent="0.3">
      <c r="A715" s="13">
        <v>77</v>
      </c>
      <c r="B715" s="13" t="str">
        <f>+VLOOKUP(A715,'[1]PA 2023'!$A$8:$E$84,5)</f>
        <v>Realizar 4 jornadas de conmemoración del día de la niñez.</v>
      </c>
      <c r="C715" s="14">
        <v>2021680010003</v>
      </c>
      <c r="D715" s="14" t="str">
        <f>+VLOOKUP(C715,'[1]PA 2023'!$G$8:$H$84,2,FALSE)</f>
        <v>IMPLEMENTACIÓN DE ESTRATEGIAS PSICOPEDAGÓGICAS PARA LA DISMINUCIÓN DE FACTORES DE RIESGO EN NIÑOS, NIÑAS Y ADOLESCENTES EN EL MUNICIPIO DE BUCARAMANGA</v>
      </c>
      <c r="E715" s="13" t="s">
        <v>254</v>
      </c>
      <c r="F715" s="15">
        <v>2599</v>
      </c>
      <c r="G715" s="21" t="s">
        <v>35</v>
      </c>
      <c r="H715" s="21" t="s">
        <v>36</v>
      </c>
      <c r="I715" s="13" t="s">
        <v>255</v>
      </c>
      <c r="J715" s="13" t="s">
        <v>1578</v>
      </c>
      <c r="K715" s="16">
        <v>45098</v>
      </c>
      <c r="L715" s="17">
        <v>11000000</v>
      </c>
      <c r="M715" s="17">
        <v>11000000</v>
      </c>
      <c r="N715" s="18">
        <f>660000+2200000+2200000</f>
        <v>5060000</v>
      </c>
      <c r="O715" s="22" t="s">
        <v>1605</v>
      </c>
      <c r="Q715" s="13">
        <v>6902</v>
      </c>
      <c r="R715" s="13" t="s">
        <v>1580</v>
      </c>
      <c r="S715" s="13" t="s">
        <v>257</v>
      </c>
      <c r="T715" s="13" t="s">
        <v>16</v>
      </c>
      <c r="U715" s="17">
        <f t="shared" si="25"/>
        <v>5940000</v>
      </c>
    </row>
    <row r="716" spans="1:21" x14ac:dyDescent="0.3">
      <c r="A716" s="13">
        <v>68</v>
      </c>
      <c r="B716" s="13" t="str">
        <f>+VLOOKUP(A716,'[1]PA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716" s="14">
        <v>2021680010003</v>
      </c>
      <c r="D716" s="14" t="str">
        <f>+VLOOKUP(C716,'[1]PA 2023'!$G$8:$H$84,2,FALSE)</f>
        <v>IMPLEMENTACIÓN DE ESTRATEGIAS PSICOPEDAGÓGICAS PARA LA DISMINUCIÓN DE FACTORES DE RIESGO EN NIÑOS, NIÑAS Y ADOLESCENTES EN EL MUNICIPIO DE BUCARAMANGA</v>
      </c>
      <c r="E716" s="13" t="s">
        <v>1606</v>
      </c>
      <c r="F716" s="15">
        <v>2596</v>
      </c>
      <c r="G716" s="21" t="s">
        <v>43</v>
      </c>
      <c r="H716" s="21" t="s">
        <v>36</v>
      </c>
      <c r="I716" s="13" t="s">
        <v>293</v>
      </c>
      <c r="J716" s="13" t="s">
        <v>1607</v>
      </c>
      <c r="K716" s="16">
        <v>45098</v>
      </c>
      <c r="L716" s="17">
        <v>17500000</v>
      </c>
      <c r="M716" s="17">
        <v>17500000</v>
      </c>
      <c r="N716" s="18">
        <f>1050000+3500000+3500000</f>
        <v>8050000</v>
      </c>
      <c r="O716" s="22" t="s">
        <v>1608</v>
      </c>
      <c r="Q716" s="13">
        <v>6903</v>
      </c>
      <c r="R716" s="13" t="s">
        <v>1609</v>
      </c>
      <c r="S716" s="13" t="s">
        <v>295</v>
      </c>
      <c r="T716" s="13" t="s">
        <v>16</v>
      </c>
      <c r="U716" s="17">
        <f t="shared" si="25"/>
        <v>9450000</v>
      </c>
    </row>
    <row r="717" spans="1:21" x14ac:dyDescent="0.3">
      <c r="A717" s="13">
        <v>76</v>
      </c>
      <c r="B717" s="13" t="str">
        <f>+VLOOKUP(A717,'[1]PA 2023'!$A$8:$E$84,5)</f>
        <v>Implementar y mantener la Ruta de Prevención, Detección y Atención Interinstitucional frente casos de niños, niñas y adolescentes victimas de bullying, abuso, acoso y/o explotación sexual.</v>
      </c>
      <c r="C717" s="14">
        <v>2021680010003</v>
      </c>
      <c r="D717" s="14" t="str">
        <f>+VLOOKUP(C717,'[1]PA 2023'!$G$8:$H$84,2,FALSE)</f>
        <v>IMPLEMENTACIÓN DE ESTRATEGIAS PSICOPEDAGÓGICAS PARA LA DISMINUCIÓN DE FACTORES DE RIESGO EN NIÑOS, NIÑAS Y ADOLESCENTES EN EL MUNICIPIO DE BUCARAMANGA</v>
      </c>
      <c r="E717" s="13" t="s">
        <v>1610</v>
      </c>
      <c r="F717" s="15">
        <v>2583</v>
      </c>
      <c r="G717" s="21" t="s">
        <v>43</v>
      </c>
      <c r="H717" s="21" t="s">
        <v>36</v>
      </c>
      <c r="I717" s="13" t="s">
        <v>239</v>
      </c>
      <c r="J717" s="13" t="s">
        <v>1607</v>
      </c>
      <c r="K717" s="16">
        <v>45098</v>
      </c>
      <c r="L717" s="17">
        <v>20000000</v>
      </c>
      <c r="M717" s="17">
        <v>20000000</v>
      </c>
      <c r="N717" s="18">
        <f>1200000+4000000+4000000</f>
        <v>9200000</v>
      </c>
      <c r="O717" s="22" t="s">
        <v>1611</v>
      </c>
      <c r="Q717" s="13">
        <v>6904</v>
      </c>
      <c r="R717" s="13" t="s">
        <v>1609</v>
      </c>
      <c r="S717" s="13" t="s">
        <v>241</v>
      </c>
      <c r="T717" s="13" t="s">
        <v>16</v>
      </c>
      <c r="U717" s="17">
        <f t="shared" si="25"/>
        <v>10800000</v>
      </c>
    </row>
    <row r="718" spans="1:21" x14ac:dyDescent="0.3">
      <c r="A718" s="13">
        <v>68</v>
      </c>
      <c r="B718" s="13" t="str">
        <f>+VLOOKUP(A718,'[1]PA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718" s="14">
        <v>2021680010003</v>
      </c>
      <c r="D718" s="14" t="str">
        <f>+VLOOKUP(C718,'[1]PA 2023'!$G$8:$H$84,2,FALSE)</f>
        <v>IMPLEMENTACIÓN DE ESTRATEGIAS PSICOPEDAGÓGICAS PARA LA DISMINUCIÓN DE FACTORES DE RIESGO EN NIÑOS, NIÑAS Y ADOLESCENTES EN EL MUNICIPIO DE BUCARAMANGA</v>
      </c>
      <c r="E718" s="13" t="s">
        <v>1612</v>
      </c>
      <c r="F718" s="15">
        <v>2593</v>
      </c>
      <c r="G718" s="21" t="s">
        <v>35</v>
      </c>
      <c r="H718" s="21" t="s">
        <v>36</v>
      </c>
      <c r="I718" s="13" t="s">
        <v>855</v>
      </c>
      <c r="J718" s="13" t="s">
        <v>1578</v>
      </c>
      <c r="K718" s="16">
        <v>45098</v>
      </c>
      <c r="L718" s="17">
        <v>12500000</v>
      </c>
      <c r="M718" s="17">
        <v>12500000</v>
      </c>
      <c r="N718" s="18">
        <f>750000+2500000+2500000</f>
        <v>5750000</v>
      </c>
      <c r="O718" s="22" t="s">
        <v>1613</v>
      </c>
      <c r="Q718" s="13">
        <v>6905</v>
      </c>
      <c r="R718" s="13" t="s">
        <v>1580</v>
      </c>
      <c r="S718" s="13" t="s">
        <v>857</v>
      </c>
      <c r="T718" s="13" t="s">
        <v>16</v>
      </c>
      <c r="U718" s="17">
        <f t="shared" si="25"/>
        <v>6750000</v>
      </c>
    </row>
    <row r="719" spans="1:21" x14ac:dyDescent="0.3">
      <c r="A719" s="13">
        <v>88</v>
      </c>
      <c r="B719" s="13" t="str">
        <f>+VLOOKUP(A719,'[1]PA 2023'!$A$8:$E$84,5)</f>
        <v>Beneficiar y mantener a 11.000 personas mayores con el programa Colombia Mayor.</v>
      </c>
      <c r="C719" s="14">
        <v>2020680010040</v>
      </c>
      <c r="D719" s="14" t="str">
        <f>+VLOOKUP(C719,'[1]PA 2023'!$G$8:$H$84,2,FALSE)</f>
        <v>IMPLEMENTACIÓN DE ACCIONES TENDIENTES A MEJORAR LAS CONDICIONES DE LOS ADULTOS MAYORES DEL MUNICIPIO DE BUCARAMANGA</v>
      </c>
      <c r="E719" s="13" t="s">
        <v>1614</v>
      </c>
      <c r="F719" s="15">
        <v>2613</v>
      </c>
      <c r="G719" s="21" t="s">
        <v>35</v>
      </c>
      <c r="H719" s="21" t="s">
        <v>36</v>
      </c>
      <c r="I719" s="13" t="s">
        <v>674</v>
      </c>
      <c r="J719" s="13" t="s">
        <v>574</v>
      </c>
      <c r="K719" s="16">
        <v>45099</v>
      </c>
      <c r="L719" s="17">
        <v>9000000</v>
      </c>
      <c r="M719" s="17">
        <v>9000000</v>
      </c>
      <c r="N719" s="18">
        <f>540000+1800000+1800000</f>
        <v>4140000</v>
      </c>
      <c r="O719" s="22" t="s">
        <v>1615</v>
      </c>
      <c r="Q719" s="13">
        <v>6962</v>
      </c>
      <c r="R719" s="13" t="s">
        <v>26</v>
      </c>
      <c r="S719" s="13" t="s">
        <v>676</v>
      </c>
      <c r="T719" s="13" t="s">
        <v>16</v>
      </c>
      <c r="U719" s="17">
        <f t="shared" si="25"/>
        <v>4860000</v>
      </c>
    </row>
    <row r="720" spans="1:21" x14ac:dyDescent="0.3">
      <c r="A720" s="13">
        <v>283</v>
      </c>
      <c r="B720" s="13" t="str">
        <f>+VLOOKUP(A720,'[1]PA 2023'!$A$8:$E$84,5)</f>
        <v>Formular e implementar 1 estrategia que fortalezca la democracia participativa (Ley 1757 de 2015).</v>
      </c>
      <c r="C720" s="14">
        <v>2022680010029</v>
      </c>
      <c r="D720" s="14" t="str">
        <f>+VLOOKUP(C720,'[1]PA 2023'!$G$8:$H$84,2,FALSE)</f>
        <v>FORTALECIMIENTO DE LA PARTICIPACIÓN CIUDADANA EN EL MUNICIPIO DE BUCARAMANGA</v>
      </c>
      <c r="E720" s="13" t="s">
        <v>677</v>
      </c>
      <c r="F720" s="15">
        <v>2624</v>
      </c>
      <c r="G720" s="21" t="s">
        <v>43</v>
      </c>
      <c r="H720" s="21" t="s">
        <v>36</v>
      </c>
      <c r="I720" s="13" t="s">
        <v>565</v>
      </c>
      <c r="J720" s="13" t="s">
        <v>1505</v>
      </c>
      <c r="K720" s="16">
        <v>45099</v>
      </c>
      <c r="L720" s="17">
        <v>20000000</v>
      </c>
      <c r="M720" s="17">
        <v>20000000</v>
      </c>
      <c r="N720" s="18">
        <f>1200000+4000000+4000000</f>
        <v>9200000</v>
      </c>
      <c r="O720" s="22" t="s">
        <v>1616</v>
      </c>
      <c r="Q720" s="13">
        <v>6963</v>
      </c>
      <c r="R720" s="13" t="s">
        <v>1462</v>
      </c>
      <c r="S720" s="13" t="s">
        <v>567</v>
      </c>
      <c r="T720" s="13" t="s">
        <v>16</v>
      </c>
      <c r="U720" s="17">
        <f t="shared" si="25"/>
        <v>10800000</v>
      </c>
    </row>
    <row r="721" spans="1:21" x14ac:dyDescent="0.3">
      <c r="A721" s="13">
        <v>285</v>
      </c>
      <c r="B721" s="13" t="str">
        <f>+VLOOKUP(A721,'[1]PA 2023'!$A$8:$E$84,5)</f>
        <v>Mantener en funcionamiento el 100% de los salones comunales que hacen parte del programa Ágoras.</v>
      </c>
      <c r="C721" s="14">
        <v>2022680010029</v>
      </c>
      <c r="D721" s="14" t="str">
        <f>+VLOOKUP(C721,'[1]PA 2023'!$G$8:$H$84,2,FALSE)</f>
        <v>FORTALECIMIENTO DE LA PARTICIPACIÓN CIUDADANA EN EL MUNICIPIO DE BUCARAMANGA</v>
      </c>
      <c r="E721" s="13" t="s">
        <v>1617</v>
      </c>
      <c r="F721" s="15" t="s">
        <v>22</v>
      </c>
      <c r="G721" s="22" t="s">
        <v>23</v>
      </c>
      <c r="H721" s="21" t="s">
        <v>23</v>
      </c>
      <c r="I721" s="13" t="s">
        <v>470</v>
      </c>
      <c r="J721" s="13" t="s">
        <v>1130</v>
      </c>
      <c r="K721" s="16">
        <v>45099</v>
      </c>
      <c r="L721" s="17">
        <v>448619</v>
      </c>
      <c r="M721" s="17">
        <v>448619</v>
      </c>
      <c r="N721" s="18">
        <v>448619</v>
      </c>
      <c r="O721" s="15" t="s">
        <v>23</v>
      </c>
      <c r="Q721" s="13">
        <v>6965</v>
      </c>
      <c r="R721" s="13" t="s">
        <v>134</v>
      </c>
      <c r="S721" s="13" t="s">
        <v>471</v>
      </c>
      <c r="T721" s="13" t="s">
        <v>16</v>
      </c>
      <c r="U721" s="17">
        <f t="shared" si="25"/>
        <v>0</v>
      </c>
    </row>
    <row r="722" spans="1:21" x14ac:dyDescent="0.3">
      <c r="A722" s="13">
        <v>283</v>
      </c>
      <c r="B722" s="13" t="str">
        <f>+VLOOKUP(A722,'[1]PA 2023'!$A$8:$E$84,5)</f>
        <v>Formular e implementar 1 estrategia que fortalezca la democracia participativa (Ley 1757 de 2015).</v>
      </c>
      <c r="C722" s="14">
        <v>2022680010029</v>
      </c>
      <c r="D722" s="14" t="str">
        <f>+VLOOKUP(C722,'[1]PA 2023'!$G$8:$H$84,2,FALSE)</f>
        <v>FORTALECIMIENTO DE LA PARTICIPACIÓN CIUDADANA EN EL MUNICIPIO DE BUCARAMANGA</v>
      </c>
      <c r="E722" s="13" t="s">
        <v>577</v>
      </c>
      <c r="F722" s="15">
        <v>2661</v>
      </c>
      <c r="G722" s="21" t="s">
        <v>43</v>
      </c>
      <c r="H722" s="21" t="s">
        <v>36</v>
      </c>
      <c r="I722" s="13" t="s">
        <v>851</v>
      </c>
      <c r="J722" s="13" t="s">
        <v>1505</v>
      </c>
      <c r="K722" s="16">
        <v>45099</v>
      </c>
      <c r="L722" s="17">
        <v>15000000</v>
      </c>
      <c r="M722" s="17">
        <v>15000000</v>
      </c>
      <c r="N722" s="18">
        <f>800000+3000000+3000000</f>
        <v>6800000</v>
      </c>
      <c r="O722" s="22" t="s">
        <v>1618</v>
      </c>
      <c r="Q722" s="13">
        <v>6985</v>
      </c>
      <c r="R722" s="13" t="s">
        <v>1462</v>
      </c>
      <c r="S722" s="13" t="s">
        <v>853</v>
      </c>
      <c r="T722" s="13" t="s">
        <v>16</v>
      </c>
      <c r="U722" s="17">
        <f t="shared" si="25"/>
        <v>8200000</v>
      </c>
    </row>
    <row r="723" spans="1:21" x14ac:dyDescent="0.3">
      <c r="A723" s="13">
        <v>75</v>
      </c>
      <c r="B723" s="13" t="str">
        <f>+VLOOKUP(A723,'[1]PA 2023'!$A$8:$E$84,5)</f>
        <v>Formular e implementar 1 estrategia comunitaria y familiar para la prevención y erradicación del trabajo infantil en niños, niñas y adolescentes de acuerdo a los lineamientos del Plan Nacional  de Erradicación del trabajo infantil y sus peores formas.</v>
      </c>
      <c r="C723" s="14">
        <v>2021680010003</v>
      </c>
      <c r="D723" s="14" t="str">
        <f>+VLOOKUP(C723,'[1]PA 2023'!$G$8:$H$84,2,FALSE)</f>
        <v>IMPLEMENTACIÓN DE ESTRATEGIAS PSICOPEDAGÓGICAS PARA LA DISMINUCIÓN DE FACTORES DE RIESGO EN NIÑOS, NIÑAS Y ADOLESCENTES EN EL MUNICIPIO DE BUCARAMANGA</v>
      </c>
      <c r="E723" s="13" t="s">
        <v>1619</v>
      </c>
      <c r="F723" s="15">
        <v>2648</v>
      </c>
      <c r="G723" s="21" t="s">
        <v>35</v>
      </c>
      <c r="H723" s="21" t="s">
        <v>36</v>
      </c>
      <c r="I723" s="13" t="s">
        <v>1172</v>
      </c>
      <c r="J723" s="13" t="s">
        <v>1578</v>
      </c>
      <c r="K723" s="16">
        <v>45099</v>
      </c>
      <c r="L723" s="17">
        <v>12500000</v>
      </c>
      <c r="M723" s="17">
        <v>12500000</v>
      </c>
      <c r="N723" s="18">
        <f>666666.67+2500000+2500000</f>
        <v>5666666.6699999999</v>
      </c>
      <c r="O723" s="22" t="s">
        <v>1620</v>
      </c>
      <c r="Q723" s="13">
        <v>6986</v>
      </c>
      <c r="R723" s="13" t="s">
        <v>1580</v>
      </c>
      <c r="S723" s="13" t="s">
        <v>1174</v>
      </c>
      <c r="T723" s="13" t="s">
        <v>16</v>
      </c>
      <c r="U723" s="17">
        <f t="shared" si="25"/>
        <v>6833333.3300000001</v>
      </c>
    </row>
    <row r="724" spans="1:21" x14ac:dyDescent="0.3">
      <c r="A724" s="13">
        <v>68</v>
      </c>
      <c r="B724" s="13" t="str">
        <f>+VLOOKUP(A724,'[1]PA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724" s="14">
        <v>2021680010003</v>
      </c>
      <c r="D724" s="14" t="str">
        <f>+VLOOKUP(C724,'[1]PA 2023'!$G$8:$H$84,2,FALSE)</f>
        <v>IMPLEMENTACIÓN DE ESTRATEGIAS PSICOPEDAGÓGICAS PARA LA DISMINUCIÓN DE FACTORES DE RIESGO EN NIÑOS, NIÑAS Y ADOLESCENTES EN EL MUNICIPIO DE BUCARAMANGA</v>
      </c>
      <c r="E724" s="13" t="s">
        <v>1621</v>
      </c>
      <c r="F724" s="15">
        <v>2645</v>
      </c>
      <c r="G724" s="21" t="s">
        <v>43</v>
      </c>
      <c r="H724" s="21" t="s">
        <v>36</v>
      </c>
      <c r="I724" s="13" t="s">
        <v>275</v>
      </c>
      <c r="J724" s="13" t="s">
        <v>1607</v>
      </c>
      <c r="K724" s="16">
        <v>45099</v>
      </c>
      <c r="L724" s="17">
        <v>20000000</v>
      </c>
      <c r="M724" s="17">
        <v>20000000</v>
      </c>
      <c r="N724" s="18">
        <f>1066666.67+4000000+4000000</f>
        <v>9066666.6699999999</v>
      </c>
      <c r="O724" s="22" t="s">
        <v>1622</v>
      </c>
      <c r="Q724" s="13">
        <v>6987</v>
      </c>
      <c r="R724" s="13" t="s">
        <v>1609</v>
      </c>
      <c r="S724" s="13" t="s">
        <v>277</v>
      </c>
      <c r="T724" s="13" t="s">
        <v>16</v>
      </c>
      <c r="U724" s="17">
        <f t="shared" si="25"/>
        <v>10933333.33</v>
      </c>
    </row>
    <row r="725" spans="1:21" x14ac:dyDescent="0.3">
      <c r="A725" s="13">
        <v>117</v>
      </c>
      <c r="B725" s="13" t="str">
        <f>+VLOOKUP(A725,'[1]PA 2023'!$A$8:$E$84,5)</f>
        <v>Formular e implementar 1 estrategia de orientación ocupacional, aprovechamiento del tiempo libre, formación y esparcimiento cultural y actividades que mejoren la calidad de vida dirigidas a personas con discapacidad.</v>
      </c>
      <c r="C725" s="14">
        <v>2020680010121</v>
      </c>
      <c r="D725" s="14" t="str">
        <f>+VLOOKUP(C725,'[1]PA 2023'!$G$8:$H$84,2,FALSE)</f>
        <v>APOYO A LA OPERATIVIDAD DE LOS PROGRAMAS DE ATENCIÓN INTEGRAL A LAS PERSONAS CON DISCAPACIDAD. FAMILIARES Y/O CUIDADORES DEL MUNICIPIO DE BUCARAMANGA</v>
      </c>
      <c r="E725" s="13" t="s">
        <v>1623</v>
      </c>
      <c r="F725" s="15">
        <v>2656</v>
      </c>
      <c r="G725" s="21" t="s">
        <v>43</v>
      </c>
      <c r="H725" s="21" t="s">
        <v>36</v>
      </c>
      <c r="I725" s="13" t="s">
        <v>231</v>
      </c>
      <c r="J725" s="13" t="s">
        <v>1624</v>
      </c>
      <c r="K725" s="16">
        <v>45099</v>
      </c>
      <c r="L725" s="17">
        <v>16500000</v>
      </c>
      <c r="M725" s="17">
        <v>16500000</v>
      </c>
      <c r="N725" s="18">
        <f>880000+3300000+3300000</f>
        <v>7480000</v>
      </c>
      <c r="O725" s="22" t="s">
        <v>1625</v>
      </c>
      <c r="Q725" s="13">
        <v>6988</v>
      </c>
      <c r="R725" s="13" t="s">
        <v>1626</v>
      </c>
      <c r="S725" s="13" t="s">
        <v>233</v>
      </c>
      <c r="T725" s="13" t="s">
        <v>16</v>
      </c>
      <c r="U725" s="17">
        <f t="shared" si="25"/>
        <v>9020000</v>
      </c>
    </row>
    <row r="726" spans="1:21" x14ac:dyDescent="0.3">
      <c r="A726" s="13">
        <v>283</v>
      </c>
      <c r="B726" s="13" t="str">
        <f>+VLOOKUP(A726,'[1]PA 2023'!$A$8:$E$84,5)</f>
        <v>Formular e implementar 1 estrategia que fortalezca la democracia participativa (Ley 1757 de 2015).</v>
      </c>
      <c r="C726" s="14">
        <v>2022680010029</v>
      </c>
      <c r="D726" s="14" t="str">
        <f>+VLOOKUP(C726,'[1]PA 2023'!$G$8:$H$84,2,FALSE)</f>
        <v>FORTALECIMIENTO DE LA PARTICIPACIÓN CIUDADANA EN EL MUNICIPIO DE BUCARAMANGA</v>
      </c>
      <c r="E726" s="13" t="s">
        <v>577</v>
      </c>
      <c r="F726" s="15">
        <v>2659</v>
      </c>
      <c r="G726" s="21" t="s">
        <v>43</v>
      </c>
      <c r="H726" s="21" t="s">
        <v>36</v>
      </c>
      <c r="I726" s="13" t="s">
        <v>578</v>
      </c>
      <c r="J726" s="13" t="s">
        <v>1505</v>
      </c>
      <c r="K726" s="16">
        <v>45099</v>
      </c>
      <c r="L726" s="17">
        <v>15000000</v>
      </c>
      <c r="M726" s="17">
        <v>15000000</v>
      </c>
      <c r="N726" s="18">
        <f>800000+3000000+3000000</f>
        <v>6800000</v>
      </c>
      <c r="O726" s="22" t="s">
        <v>1627</v>
      </c>
      <c r="Q726" s="13">
        <v>6989</v>
      </c>
      <c r="R726" s="13" t="s">
        <v>1462</v>
      </c>
      <c r="S726" s="13" t="s">
        <v>580</v>
      </c>
      <c r="T726" s="13" t="s">
        <v>16</v>
      </c>
      <c r="U726" s="17">
        <f t="shared" si="25"/>
        <v>8200000</v>
      </c>
    </row>
    <row r="727" spans="1:21" x14ac:dyDescent="0.3">
      <c r="A727" s="13">
        <v>88</v>
      </c>
      <c r="B727" s="13" t="str">
        <f>+VLOOKUP(A727,'[1]PA 2023'!$A$8:$E$84,5)</f>
        <v>Beneficiar y mantener a 11.000 personas mayores con el programa Colombia Mayor.</v>
      </c>
      <c r="C727" s="14">
        <v>2020680010040</v>
      </c>
      <c r="D727" s="14" t="str">
        <f>+VLOOKUP(C727,'[1]PA 2023'!$G$8:$H$84,2,FALSE)</f>
        <v>IMPLEMENTACIÓN DE ACCIONES TENDIENTES A MEJORAR LAS CONDICIONES DE LOS ADULTOS MAYORES DEL MUNICIPIO DE BUCARAMANGA</v>
      </c>
      <c r="E727" s="13" t="s">
        <v>1628</v>
      </c>
      <c r="F727" s="15">
        <v>2666</v>
      </c>
      <c r="G727" s="21" t="s">
        <v>43</v>
      </c>
      <c r="H727" s="21" t="s">
        <v>36</v>
      </c>
      <c r="I727" s="13" t="s">
        <v>716</v>
      </c>
      <c r="J727" s="13" t="s">
        <v>1554</v>
      </c>
      <c r="K727" s="16">
        <v>45099</v>
      </c>
      <c r="L727" s="17">
        <v>15000000</v>
      </c>
      <c r="M727" s="17">
        <v>15000000</v>
      </c>
      <c r="N727" s="18">
        <f>800000+3000000+3000000</f>
        <v>6800000</v>
      </c>
      <c r="O727" s="22" t="s">
        <v>1629</v>
      </c>
      <c r="Q727" s="13">
        <v>6990</v>
      </c>
      <c r="R727" s="13" t="s">
        <v>1556</v>
      </c>
      <c r="S727" s="13" t="s">
        <v>718</v>
      </c>
      <c r="T727" s="13" t="s">
        <v>16</v>
      </c>
      <c r="U727" s="17">
        <f t="shared" si="25"/>
        <v>8200000</v>
      </c>
    </row>
    <row r="728" spans="1:21" x14ac:dyDescent="0.3">
      <c r="A728" s="13">
        <v>75</v>
      </c>
      <c r="B728" s="13" t="str">
        <f>+VLOOKUP(A728,'[1]PA 2023'!$A$8:$E$84,5)</f>
        <v>Formular e implementar 1 estrategia comunitaria y familiar para la prevención y erradicación del trabajo infantil en niños, niñas y adolescentes de acuerdo a los lineamientos del Plan Nacional  de Erradicación del trabajo infantil y sus peores formas.</v>
      </c>
      <c r="C728" s="14">
        <v>2021680010003</v>
      </c>
      <c r="D728" s="14" t="str">
        <f>+VLOOKUP(C728,'[1]PA 2023'!$G$8:$H$84,2,FALSE)</f>
        <v>IMPLEMENTACIÓN DE ESTRATEGIAS PSICOPEDAGÓGICAS PARA LA DISMINUCIÓN DE FACTORES DE RIESGO EN NIÑOS, NIÑAS Y ADOLESCENTES EN EL MUNICIPIO DE BUCARAMANGA</v>
      </c>
      <c r="E728" s="13" t="s">
        <v>1630</v>
      </c>
      <c r="F728" s="15">
        <v>2665</v>
      </c>
      <c r="G728" s="21" t="s">
        <v>43</v>
      </c>
      <c r="H728" s="21" t="s">
        <v>36</v>
      </c>
      <c r="I728" s="13" t="s">
        <v>289</v>
      </c>
      <c r="J728" s="13" t="s">
        <v>1578</v>
      </c>
      <c r="K728" s="16">
        <v>45099</v>
      </c>
      <c r="L728" s="17">
        <v>17500000</v>
      </c>
      <c r="M728" s="17">
        <v>17500000</v>
      </c>
      <c r="N728" s="18">
        <f>933333.33+3500000+3500000</f>
        <v>7933333.3300000001</v>
      </c>
      <c r="O728" s="22" t="s">
        <v>1631</v>
      </c>
      <c r="Q728" s="13">
        <v>6991</v>
      </c>
      <c r="R728" s="13" t="s">
        <v>1580</v>
      </c>
      <c r="S728" s="13" t="s">
        <v>291</v>
      </c>
      <c r="T728" s="13" t="s">
        <v>16</v>
      </c>
      <c r="U728" s="17">
        <f t="shared" si="25"/>
        <v>9566666.6699999999</v>
      </c>
    </row>
    <row r="729" spans="1:21" x14ac:dyDescent="0.3">
      <c r="A729" s="13">
        <v>283</v>
      </c>
      <c r="B729" s="13" t="str">
        <f>+VLOOKUP(A729,'[1]PA 2023'!$A$8:$E$84,5)</f>
        <v>Formular e implementar 1 estrategia que fortalezca la democracia participativa (Ley 1757 de 2015).</v>
      </c>
      <c r="C729" s="14">
        <v>2022680010029</v>
      </c>
      <c r="D729" s="14" t="str">
        <f>+VLOOKUP(C729,'[1]PA 2023'!$G$8:$H$84,2,FALSE)</f>
        <v>FORTALECIMIENTO DE LA PARTICIPACIÓN CIUDADANA EN EL MUNICIPIO DE BUCARAMANGA</v>
      </c>
      <c r="E729" s="13" t="s">
        <v>557</v>
      </c>
      <c r="F729" s="15">
        <v>2651</v>
      </c>
      <c r="G729" s="21" t="s">
        <v>43</v>
      </c>
      <c r="H729" s="21" t="s">
        <v>36</v>
      </c>
      <c r="I729" s="13" t="s">
        <v>558</v>
      </c>
      <c r="J729" s="13" t="s">
        <v>1505</v>
      </c>
      <c r="K729" s="16">
        <v>45099</v>
      </c>
      <c r="L729" s="17">
        <v>24000000</v>
      </c>
      <c r="M729" s="17">
        <v>24000000</v>
      </c>
      <c r="N729" s="18">
        <f>1066666.67+4000000+4000000</f>
        <v>9066666.6699999999</v>
      </c>
      <c r="O729" s="22" t="s">
        <v>1632</v>
      </c>
      <c r="Q729" s="13">
        <v>6992</v>
      </c>
      <c r="R729" s="13" t="s">
        <v>1462</v>
      </c>
      <c r="S729" s="13" t="s">
        <v>560</v>
      </c>
      <c r="T729" s="13" t="s">
        <v>16</v>
      </c>
      <c r="U729" s="17">
        <f t="shared" si="25"/>
        <v>14933333.33</v>
      </c>
    </row>
    <row r="730" spans="1:21" x14ac:dyDescent="0.3">
      <c r="A730" s="13">
        <v>117</v>
      </c>
      <c r="B730" s="13" t="str">
        <f>+VLOOKUP(A730,'[1]PA 2023'!$A$8:$E$84,5)</f>
        <v>Formular e implementar 1 estrategia de orientación ocupacional, aprovechamiento del tiempo libre, formación y esparcimiento cultural y actividades que mejoren la calidad de vida dirigidas a personas con discapacidad.</v>
      </c>
      <c r="C730" s="14">
        <v>2020680010121</v>
      </c>
      <c r="D730" s="14" t="str">
        <f>+VLOOKUP(C730,'[1]PA 2023'!$G$8:$H$84,2,FALSE)</f>
        <v>APOYO A LA OPERATIVIDAD DE LOS PROGRAMAS DE ATENCIÓN INTEGRAL A LAS PERSONAS CON DISCAPACIDAD. FAMILIARES Y/O CUIDADORES DEL MUNICIPIO DE BUCARAMANGA</v>
      </c>
      <c r="E730" s="13" t="s">
        <v>1633</v>
      </c>
      <c r="F730" s="15">
        <v>2676</v>
      </c>
      <c r="G730" s="21" t="s">
        <v>35</v>
      </c>
      <c r="H730" s="21" t="s">
        <v>36</v>
      </c>
      <c r="I730" s="13" t="s">
        <v>965</v>
      </c>
      <c r="J730" s="13" t="s">
        <v>1624</v>
      </c>
      <c r="K730" s="16">
        <v>45099</v>
      </c>
      <c r="L730" s="17">
        <v>15000000</v>
      </c>
      <c r="M730" s="17">
        <v>15000000</v>
      </c>
      <c r="N730" s="18">
        <f>800000+3000000+3000000</f>
        <v>6800000</v>
      </c>
      <c r="O730" s="22" t="s">
        <v>1634</v>
      </c>
      <c r="Q730" s="13">
        <v>6996</v>
      </c>
      <c r="R730" s="13" t="s">
        <v>1626</v>
      </c>
      <c r="S730" s="13" t="s">
        <v>967</v>
      </c>
      <c r="T730" s="13" t="s">
        <v>16</v>
      </c>
      <c r="U730" s="17">
        <f t="shared" si="25"/>
        <v>8200000</v>
      </c>
    </row>
    <row r="731" spans="1:21" x14ac:dyDescent="0.3">
      <c r="A731" s="13">
        <v>115</v>
      </c>
      <c r="B731" s="13" t="str">
        <f>+VLOOKUP(A731,'[1]PA 2023'!$A$8:$E$84,5)</f>
        <v>Garantizar y mantener la atención integral en procesos de habilitación y rehabilitación a 250 niñas, niños y adolescentes con discapacidad del sector urbano y rural en extrema vulnerabilidad.</v>
      </c>
      <c r="C731" s="14">
        <v>2020680010121</v>
      </c>
      <c r="D731" s="14" t="str">
        <f>+VLOOKUP(C731,'[1]PA 2023'!$G$8:$H$84,2,FALSE)</f>
        <v>APOYO A LA OPERATIVIDAD DE LOS PROGRAMAS DE ATENCIÓN INTEGRAL A LAS PERSONAS CON DISCAPACIDAD. FAMILIARES Y/O CUIDADORES DEL MUNICIPIO DE BUCARAMANGA</v>
      </c>
      <c r="E731" s="13" t="s">
        <v>1635</v>
      </c>
      <c r="F731" s="15">
        <v>2677</v>
      </c>
      <c r="G731" s="21" t="s">
        <v>43</v>
      </c>
      <c r="H731" s="21" t="s">
        <v>36</v>
      </c>
      <c r="I731" s="13" t="s">
        <v>339</v>
      </c>
      <c r="J731" s="13" t="s">
        <v>1624</v>
      </c>
      <c r="K731" s="16">
        <v>45099</v>
      </c>
      <c r="L731" s="17">
        <v>16500000</v>
      </c>
      <c r="M731" s="17">
        <v>16500000</v>
      </c>
      <c r="N731" s="18">
        <f>880000+3300000+3300000</f>
        <v>7480000</v>
      </c>
      <c r="O731" s="22" t="s">
        <v>1636</v>
      </c>
      <c r="Q731" s="13">
        <v>6997</v>
      </c>
      <c r="R731" s="13" t="s">
        <v>1626</v>
      </c>
      <c r="S731" s="13" t="s">
        <v>341</v>
      </c>
      <c r="T731" s="13" t="s">
        <v>16</v>
      </c>
      <c r="U731" s="17">
        <f t="shared" si="25"/>
        <v>9020000</v>
      </c>
    </row>
    <row r="732" spans="1:21" x14ac:dyDescent="0.3">
      <c r="A732" s="13">
        <v>283</v>
      </c>
      <c r="B732" s="13" t="str">
        <f>+VLOOKUP(A732,'[1]PA 2023'!$A$8:$E$84,5)</f>
        <v>Formular e implementar 1 estrategia que fortalezca la democracia participativa (Ley 1757 de 2015).</v>
      </c>
      <c r="C732" s="14">
        <v>2022680010029</v>
      </c>
      <c r="D732" s="14" t="str">
        <f>+VLOOKUP(C732,'[1]PA 2023'!$G$8:$H$84,2,FALSE)</f>
        <v>FORTALECIMIENTO DE LA PARTICIPACIÓN CIUDADANA EN EL MUNICIPIO DE BUCARAMANGA</v>
      </c>
      <c r="E732" s="13" t="s">
        <v>1637</v>
      </c>
      <c r="F732" s="15">
        <v>2680</v>
      </c>
      <c r="G732" s="21" t="s">
        <v>43</v>
      </c>
      <c r="H732" s="21" t="s">
        <v>36</v>
      </c>
      <c r="I732" s="13" t="s">
        <v>734</v>
      </c>
      <c r="J732" s="13" t="s">
        <v>1505</v>
      </c>
      <c r="K732" s="16">
        <v>45099</v>
      </c>
      <c r="L732" s="17">
        <v>15000000</v>
      </c>
      <c r="M732" s="17">
        <v>15000000</v>
      </c>
      <c r="N732" s="18">
        <f>800000+3000000+3000000</f>
        <v>6800000</v>
      </c>
      <c r="O732" s="22" t="s">
        <v>1638</v>
      </c>
      <c r="Q732" s="13">
        <v>6998</v>
      </c>
      <c r="R732" s="13" t="s">
        <v>1462</v>
      </c>
      <c r="S732" s="13" t="s">
        <v>736</v>
      </c>
      <c r="T732" s="13" t="s">
        <v>16</v>
      </c>
      <c r="U732" s="17">
        <f t="shared" si="25"/>
        <v>8200000</v>
      </c>
    </row>
    <row r="733" spans="1:21" x14ac:dyDescent="0.3">
      <c r="A733" s="13">
        <v>300</v>
      </c>
      <c r="B733" s="13" t="str">
        <f>+VLOOKUP(A733,'[1]PA 2023'!$A$8:$E$84,5)</f>
        <v>Mantener el 100% de los programas que desarrolla la Administración Central.</v>
      </c>
      <c r="C733" s="14">
        <v>2023680010016</v>
      </c>
      <c r="D733" s="14" t="str">
        <f>+VLOOKUP(C733,'[1]PA 2023'!$G$8:$H$84,2,FALSE)</f>
        <v>APOYO A LA GESTIÓN ADMINISTRATIVA Y PROCESOS TRANSVERSALES DE LA SECRETARIA DE DESARROLLO SOCIAL DEL MUNICIPIO DE BUCARAMANGA</v>
      </c>
      <c r="E733" s="13" t="s">
        <v>1639</v>
      </c>
      <c r="F733" s="15">
        <v>2689</v>
      </c>
      <c r="G733" s="21" t="s">
        <v>43</v>
      </c>
      <c r="H733" s="21" t="s">
        <v>36</v>
      </c>
      <c r="I733" s="13" t="s">
        <v>211</v>
      </c>
      <c r="J733" s="13" t="s">
        <v>1388</v>
      </c>
      <c r="K733" s="16">
        <v>45100</v>
      </c>
      <c r="L733" s="17">
        <v>24000000</v>
      </c>
      <c r="M733" s="17">
        <v>24000000</v>
      </c>
      <c r="N733" s="18">
        <f>1066666.67+4000000+4000000</f>
        <v>9066666.6699999999</v>
      </c>
      <c r="O733" s="22" t="s">
        <v>1640</v>
      </c>
      <c r="Q733" s="13">
        <v>7009</v>
      </c>
      <c r="R733" s="13" t="s">
        <v>1390</v>
      </c>
      <c r="S733" s="13" t="s">
        <v>214</v>
      </c>
      <c r="T733" s="13" t="s">
        <v>16</v>
      </c>
      <c r="U733" s="17">
        <f t="shared" si="25"/>
        <v>14933333.33</v>
      </c>
    </row>
    <row r="734" spans="1:21" x14ac:dyDescent="0.3">
      <c r="A734" s="13">
        <v>117</v>
      </c>
      <c r="B734" s="13" t="str">
        <f>+VLOOKUP(A734,'[1]PA 2023'!$A$8:$E$84,5)</f>
        <v>Formular e implementar 1 estrategia de orientación ocupacional, aprovechamiento del tiempo libre, formación y esparcimiento cultural y actividades que mejoren la calidad de vida dirigidas a personas con discapacidad.</v>
      </c>
      <c r="C734" s="14">
        <v>2020680010121</v>
      </c>
      <c r="D734" s="14" t="str">
        <f>+VLOOKUP(C734,'[1]PA 2023'!$G$8:$H$84,2,FALSE)</f>
        <v>APOYO A LA OPERATIVIDAD DE LOS PROGRAMAS DE ATENCIÓN INTEGRAL A LAS PERSONAS CON DISCAPACIDAD. FAMILIARES Y/O CUIDADORES DEL MUNICIPIO DE BUCARAMANGA</v>
      </c>
      <c r="E734" s="13" t="s">
        <v>1641</v>
      </c>
      <c r="F734" s="15">
        <v>2710</v>
      </c>
      <c r="G734" s="22" t="s">
        <v>35</v>
      </c>
      <c r="H734" s="21" t="s">
        <v>36</v>
      </c>
      <c r="I734" s="13" t="s">
        <v>522</v>
      </c>
      <c r="J734" s="13" t="s">
        <v>1624</v>
      </c>
      <c r="K734" s="16">
        <v>45100</v>
      </c>
      <c r="L734" s="17">
        <v>10000000</v>
      </c>
      <c r="M734" s="17">
        <v>10000000</v>
      </c>
      <c r="N734" s="18">
        <f>533333.33+2000000+2000000</f>
        <v>4533333.33</v>
      </c>
      <c r="O734" s="22" t="s">
        <v>1642</v>
      </c>
      <c r="Q734" s="13">
        <v>7010</v>
      </c>
      <c r="R734" s="13" t="s">
        <v>1626</v>
      </c>
      <c r="S734" s="13" t="s">
        <v>524</v>
      </c>
      <c r="T734" s="13" t="s">
        <v>16</v>
      </c>
      <c r="U734" s="17">
        <f t="shared" si="25"/>
        <v>5466666.6699999999</v>
      </c>
    </row>
    <row r="735" spans="1:21" x14ac:dyDescent="0.3">
      <c r="A735" s="13">
        <v>96</v>
      </c>
      <c r="B735" s="13" t="str">
        <f>+VLOOKUP(A735,'[1]PA 2023'!$A$8:$E$84,5)</f>
        <v>Formular e implementar 1 estrategia que promueva la democratización familiar apoyada en el componente de bienestar comunitario del programa Familias en Acción con impacto en barrios priorizados por NBI.</v>
      </c>
      <c r="C735" s="14">
        <v>2020680010072</v>
      </c>
      <c r="D735" s="14" t="str">
        <f>+VLOOKUP(C735,'[1]PA 2023'!$G$8:$H$84,2,FALSE)</f>
        <v>APOYO A LA OPERATIVIDAD DEL PROGRAMA NACIONAL MÁS FAMILIAS EN ACCIÓN EN EL MUNICIPIO DE BUCARAMANGA</v>
      </c>
      <c r="E735" s="13" t="s">
        <v>935</v>
      </c>
      <c r="F735" s="15">
        <v>2704</v>
      </c>
      <c r="G735" s="21" t="s">
        <v>43</v>
      </c>
      <c r="H735" s="21" t="s">
        <v>36</v>
      </c>
      <c r="I735" s="13" t="s">
        <v>936</v>
      </c>
      <c r="J735" s="13" t="s">
        <v>1466</v>
      </c>
      <c r="K735" s="16">
        <v>45100</v>
      </c>
      <c r="L735" s="17">
        <v>18000000</v>
      </c>
      <c r="M735" s="17">
        <v>18000000</v>
      </c>
      <c r="N735" s="18">
        <f>800000+3000000+3000000</f>
        <v>6800000</v>
      </c>
      <c r="O735" s="22" t="s">
        <v>1643</v>
      </c>
      <c r="Q735" s="13">
        <v>7011</v>
      </c>
      <c r="R735" s="13" t="s">
        <v>1468</v>
      </c>
      <c r="S735" s="13" t="s">
        <v>938</v>
      </c>
      <c r="T735" s="13" t="s">
        <v>16</v>
      </c>
      <c r="U735" s="17">
        <f t="shared" si="25"/>
        <v>11200000</v>
      </c>
    </row>
    <row r="736" spans="1:21" x14ac:dyDescent="0.3">
      <c r="A736" s="13">
        <v>93</v>
      </c>
      <c r="B736" s="13" t="str">
        <f>+VLOOKUP(A736,'[1]PA 2023'!$A$8:$E$84,5)</f>
        <v>Mantener en funcionamiento los 3 Centros Vida con la prestacion de servicios integrales y/o dotacion de los mismos cumpliendo con la oferta institucional.</v>
      </c>
      <c r="C736" s="14">
        <v>2020680010040</v>
      </c>
      <c r="D736" s="14" t="str">
        <f>+VLOOKUP(C736,'[1]PA 2023'!$G$8:$H$84,2,FALSE)</f>
        <v>IMPLEMENTACIÓN DE ACCIONES TENDIENTES A MEJORAR LAS CONDICIONES DE LOS ADULTOS MAYORES DEL MUNICIPIO DE BUCARAMANGA</v>
      </c>
      <c r="E736" s="13" t="s">
        <v>737</v>
      </c>
      <c r="F736" s="15">
        <v>2707</v>
      </c>
      <c r="G736" s="21" t="s">
        <v>43</v>
      </c>
      <c r="H736" s="21" t="s">
        <v>36</v>
      </c>
      <c r="I736" s="13" t="s">
        <v>738</v>
      </c>
      <c r="J736" s="13" t="s">
        <v>1554</v>
      </c>
      <c r="K736" s="16">
        <v>45100</v>
      </c>
      <c r="L736" s="17">
        <v>17500000</v>
      </c>
      <c r="M736" s="17">
        <v>17500000</v>
      </c>
      <c r="N736" s="18">
        <f>933333.33+3500000+3500000</f>
        <v>7933333.3300000001</v>
      </c>
      <c r="O736" s="22" t="s">
        <v>1644</v>
      </c>
      <c r="Q736" s="13">
        <v>7012</v>
      </c>
      <c r="R736" s="13" t="s">
        <v>1556</v>
      </c>
      <c r="S736" s="13" t="s">
        <v>740</v>
      </c>
      <c r="T736" s="13" t="s">
        <v>16</v>
      </c>
      <c r="U736" s="17">
        <f t="shared" si="25"/>
        <v>9566666.6699999999</v>
      </c>
    </row>
    <row r="737" spans="1:21" x14ac:dyDescent="0.3">
      <c r="A737" s="13">
        <v>81</v>
      </c>
      <c r="B737" s="13" t="str">
        <f>+VLOOKUP(A737,'[1]PA 2023'!$A$8:$E$84,5)</f>
        <v>Desarrollar 3 jornadas de uso creativo del tiempo y emprendimiento que potencien sus competencias y motiven continuar en diferentes niveles de educación superior.</v>
      </c>
      <c r="C737" s="14">
        <v>2021680010003</v>
      </c>
      <c r="D737" s="14" t="str">
        <f>+VLOOKUP(C737,'[1]PA 2023'!$G$8:$H$84,2,FALSE)</f>
        <v>IMPLEMENTACIÓN DE ESTRATEGIAS PSICOPEDAGÓGICAS PARA LA DISMINUCIÓN DE FACTORES DE RIESGO EN NIÑOS, NIÑAS Y ADOLESCENTES EN EL MUNICIPIO DE BUCARAMANGA</v>
      </c>
      <c r="E737" s="13" t="s">
        <v>1645</v>
      </c>
      <c r="F737" s="15">
        <v>133</v>
      </c>
      <c r="G737" s="22" t="s">
        <v>1180</v>
      </c>
      <c r="H737" s="21" t="s">
        <v>1165</v>
      </c>
      <c r="I737" s="13" t="s">
        <v>1646</v>
      </c>
      <c r="J737" s="13" t="s">
        <v>1647</v>
      </c>
      <c r="K737" s="16">
        <v>45100</v>
      </c>
      <c r="L737" s="17">
        <v>9366000</v>
      </c>
      <c r="M737" s="17">
        <v>9366000</v>
      </c>
      <c r="N737" s="18">
        <v>9366000</v>
      </c>
      <c r="O737" s="22" t="s">
        <v>1648</v>
      </c>
      <c r="Q737" s="13">
        <v>7013</v>
      </c>
      <c r="R737" s="13" t="s">
        <v>1649</v>
      </c>
      <c r="S737" s="13" t="s">
        <v>1650</v>
      </c>
      <c r="T737" s="13" t="s">
        <v>16</v>
      </c>
      <c r="U737" s="17">
        <f t="shared" si="25"/>
        <v>0</v>
      </c>
    </row>
    <row r="738" spans="1:21" x14ac:dyDescent="0.3">
      <c r="A738" s="13">
        <v>119</v>
      </c>
      <c r="B738" s="13" t="str">
        <f>+VLOOKUP(A738,'[1]PA 2023'!$A$8:$E$84,5)</f>
        <v>Implementar 1 estrategia de apoyo técnico y jurídico para las solicitudes de ayudas técnicas requeridas por personas vulnerables en condición de discapacidad.</v>
      </c>
      <c r="C738" s="14">
        <v>2020680010121</v>
      </c>
      <c r="D738" s="14" t="str">
        <f>+VLOOKUP(C738,'[1]PA 2023'!$G$8:$H$84,2,FALSE)</f>
        <v>APOYO A LA OPERATIVIDAD DE LOS PROGRAMAS DE ATENCIÓN INTEGRAL A LAS PERSONAS CON DISCAPACIDAD. FAMILIARES Y/O CUIDADORES DEL MUNICIPIO DE BUCARAMANGA</v>
      </c>
      <c r="E738" s="13" t="s">
        <v>354</v>
      </c>
      <c r="F738" s="15">
        <v>2703</v>
      </c>
      <c r="G738" s="21" t="s">
        <v>43</v>
      </c>
      <c r="H738" s="21" t="s">
        <v>36</v>
      </c>
      <c r="I738" s="13" t="s">
        <v>355</v>
      </c>
      <c r="J738" s="13" t="s">
        <v>1624</v>
      </c>
      <c r="K738" s="16">
        <v>45100</v>
      </c>
      <c r="L738" s="17">
        <v>20000000</v>
      </c>
      <c r="M738" s="17">
        <v>20000000</v>
      </c>
      <c r="N738" s="18">
        <f>1066666.67+4000000+4000000</f>
        <v>9066666.6699999999</v>
      </c>
      <c r="O738" s="22" t="s">
        <v>1651</v>
      </c>
      <c r="Q738" s="13">
        <v>7014</v>
      </c>
      <c r="R738" s="13" t="s">
        <v>1626</v>
      </c>
      <c r="S738" s="13" t="s">
        <v>357</v>
      </c>
      <c r="T738" s="13" t="s">
        <v>16</v>
      </c>
      <c r="U738" s="17">
        <f t="shared" si="25"/>
        <v>10933333.33</v>
      </c>
    </row>
    <row r="739" spans="1:21" x14ac:dyDescent="0.3">
      <c r="A739" s="13">
        <v>283</v>
      </c>
      <c r="B739" s="13" t="str">
        <f>+VLOOKUP(A739,'[1]PA 2023'!$A$8:$E$84,5)</f>
        <v>Formular e implementar 1 estrategia que fortalezca la democracia participativa (Ley 1757 de 2015).</v>
      </c>
      <c r="C739" s="14">
        <v>2022680010029</v>
      </c>
      <c r="D739" s="14" t="str">
        <f>+VLOOKUP(C739,'[1]PA 2023'!$G$8:$H$84,2,FALSE)</f>
        <v>FORTALECIMIENTO DE LA PARTICIPACIÓN CIUDADANA EN EL MUNICIPIO DE BUCARAMANGA</v>
      </c>
      <c r="E739" s="13" t="s">
        <v>1597</v>
      </c>
      <c r="F739" s="15">
        <v>2700</v>
      </c>
      <c r="G739" s="21" t="s">
        <v>43</v>
      </c>
      <c r="H739" s="21" t="s">
        <v>36</v>
      </c>
      <c r="I739" s="13" t="s">
        <v>594</v>
      </c>
      <c r="J739" s="13" t="s">
        <v>1505</v>
      </c>
      <c r="K739" s="16">
        <v>45100</v>
      </c>
      <c r="L739" s="17">
        <v>21000000</v>
      </c>
      <c r="M739" s="17">
        <v>21000000</v>
      </c>
      <c r="N739" s="18">
        <f>933333.33+3500000+3500000</f>
        <v>7933333.3300000001</v>
      </c>
      <c r="O739" s="22" t="s">
        <v>1652</v>
      </c>
      <c r="Q739" s="13">
        <v>7015</v>
      </c>
      <c r="R739" s="13" t="s">
        <v>1462</v>
      </c>
      <c r="S739" s="13" t="s">
        <v>596</v>
      </c>
      <c r="T739" s="13" t="s">
        <v>16</v>
      </c>
      <c r="U739" s="17">
        <f t="shared" si="25"/>
        <v>13066666.67</v>
      </c>
    </row>
    <row r="740" spans="1:21" x14ac:dyDescent="0.3">
      <c r="A740" s="13">
        <v>115</v>
      </c>
      <c r="B740" s="13" t="str">
        <f>+VLOOKUP(A740,'[1]PA 2023'!$A$8:$E$84,5)</f>
        <v>Garantizar y mantener la atención integral en procesos de habilitación y rehabilitación a 250 niñas, niños y adolescentes con discapacidad del sector urbano y rural en extrema vulnerabilidad.</v>
      </c>
      <c r="C740" s="14">
        <v>2020680010121</v>
      </c>
      <c r="D740" s="14" t="str">
        <f>+VLOOKUP(C740,'[1]PA 2023'!$G$8:$H$84,2,FALSE)</f>
        <v>APOYO A LA OPERATIVIDAD DE LOS PROGRAMAS DE ATENCIÓN INTEGRAL A LAS PERSONAS CON DISCAPACIDAD. FAMILIARES Y/O CUIDADORES DEL MUNICIPIO DE BUCARAMANGA</v>
      </c>
      <c r="E740" s="13" t="s">
        <v>1653</v>
      </c>
      <c r="F740" s="15">
        <v>2706</v>
      </c>
      <c r="G740" s="21" t="s">
        <v>43</v>
      </c>
      <c r="H740" s="21" t="s">
        <v>36</v>
      </c>
      <c r="I740" s="13" t="s">
        <v>525</v>
      </c>
      <c r="J740" s="13" t="s">
        <v>1624</v>
      </c>
      <c r="K740" s="16">
        <v>45100</v>
      </c>
      <c r="L740" s="17">
        <v>17500000</v>
      </c>
      <c r="M740" s="17">
        <v>17500000</v>
      </c>
      <c r="N740" s="18">
        <f>933333.33+3500000+3500000</f>
        <v>7933333.3300000001</v>
      </c>
      <c r="O740" s="22" t="s">
        <v>1654</v>
      </c>
      <c r="Q740" s="13">
        <v>7053</v>
      </c>
      <c r="R740" s="13" t="s">
        <v>1626</v>
      </c>
      <c r="S740" s="13" t="s">
        <v>527</v>
      </c>
      <c r="T740" s="13" t="s">
        <v>16</v>
      </c>
      <c r="U740" s="17">
        <f t="shared" si="25"/>
        <v>9566666.6699999999</v>
      </c>
    </row>
    <row r="741" spans="1:21" x14ac:dyDescent="0.3">
      <c r="A741" s="13">
        <v>98</v>
      </c>
      <c r="B741" s="13" t="str">
        <f>+VLOOKUP(A741,'[1]PA 2023'!$A$8:$E$84,5)</f>
        <v>Mantener el 100% del apoyo logístico a las familias beneficiadas del programa Familias en Acción.</v>
      </c>
      <c r="C741" s="14">
        <v>2020680010072</v>
      </c>
      <c r="D741" s="14" t="str">
        <f>+VLOOKUP(C741,'[1]PA 2023'!$G$8:$H$84,2,FALSE)</f>
        <v>APOYO A LA OPERATIVIDAD DEL PROGRAMA NACIONAL MÁS FAMILIAS EN ACCIÓN EN EL MUNICIPIO DE BUCARAMANGA</v>
      </c>
      <c r="E741" s="13" t="s">
        <v>723</v>
      </c>
      <c r="F741" s="15">
        <v>2742</v>
      </c>
      <c r="G741" s="22" t="s">
        <v>35</v>
      </c>
      <c r="H741" s="21" t="s">
        <v>36</v>
      </c>
      <c r="I741" s="13" t="s">
        <v>712</v>
      </c>
      <c r="J741" s="13" t="s">
        <v>1466</v>
      </c>
      <c r="K741" s="16">
        <v>45100</v>
      </c>
      <c r="L741" s="17">
        <v>12000000</v>
      </c>
      <c r="M741" s="17">
        <v>12000000</v>
      </c>
      <c r="N741" s="18">
        <f>466666.67+2000000+2000000</f>
        <v>4466666.67</v>
      </c>
      <c r="O741" s="22" t="s">
        <v>1655</v>
      </c>
      <c r="Q741" s="13">
        <v>7072</v>
      </c>
      <c r="R741" s="13" t="s">
        <v>1468</v>
      </c>
      <c r="S741" s="13" t="s">
        <v>714</v>
      </c>
      <c r="T741" s="13" t="s">
        <v>16</v>
      </c>
      <c r="U741" s="17">
        <f t="shared" si="25"/>
        <v>7533333.3300000001</v>
      </c>
    </row>
    <row r="742" spans="1:21" x14ac:dyDescent="0.3">
      <c r="A742" s="13">
        <v>300</v>
      </c>
      <c r="B742" s="13" t="str">
        <f>+VLOOKUP(A742,'[1]PA 2023'!$A$8:$E$84,5)</f>
        <v>Mantener el 100% de los programas que desarrolla la Administración Central.</v>
      </c>
      <c r="C742" s="14">
        <v>2023680010016</v>
      </c>
      <c r="D742" s="14" t="str">
        <f>+VLOOKUP(C742,'[1]PA 2023'!$G$8:$H$84,2,FALSE)</f>
        <v>APOYO A LA GESTIÓN ADMINISTRATIVA Y PROCESOS TRANSVERSALES DE LA SECRETARIA DE DESARROLLO SOCIAL DEL MUNICIPIO DE BUCARAMANGA</v>
      </c>
      <c r="E742" s="13" t="s">
        <v>1656</v>
      </c>
      <c r="F742" s="15">
        <v>2740</v>
      </c>
      <c r="G742" s="21" t="s">
        <v>43</v>
      </c>
      <c r="H742" s="21" t="s">
        <v>36</v>
      </c>
      <c r="I742" s="13" t="s">
        <v>1657</v>
      </c>
      <c r="J742" s="13" t="s">
        <v>1388</v>
      </c>
      <c r="K742" s="16">
        <v>45100</v>
      </c>
      <c r="L742" s="17">
        <v>24000000</v>
      </c>
      <c r="M742" s="17">
        <v>24000000</v>
      </c>
      <c r="N742" s="18">
        <f>933333.33+4000000+4000000</f>
        <v>8933333.3300000001</v>
      </c>
      <c r="O742" s="22" t="s">
        <v>1658</v>
      </c>
      <c r="Q742" s="13">
        <v>7073</v>
      </c>
      <c r="R742" s="13" t="s">
        <v>1390</v>
      </c>
      <c r="S742" s="13" t="s">
        <v>1659</v>
      </c>
      <c r="T742" s="13" t="s">
        <v>16</v>
      </c>
      <c r="U742" s="17">
        <f t="shared" si="25"/>
        <v>15066666.67</v>
      </c>
    </row>
    <row r="743" spans="1:21" x14ac:dyDescent="0.3">
      <c r="A743" s="13">
        <v>283</v>
      </c>
      <c r="B743" s="13" t="str">
        <f>+VLOOKUP(A743,'[1]PA 2023'!$A$8:$E$84,5)</f>
        <v>Formular e implementar 1 estrategia que fortalezca la democracia participativa (Ley 1757 de 2015).</v>
      </c>
      <c r="C743" s="14">
        <v>2022680010029</v>
      </c>
      <c r="D743" s="14" t="str">
        <f>+VLOOKUP(C743,'[1]PA 2023'!$G$8:$H$84,2,FALSE)</f>
        <v>FORTALECIMIENTO DE LA PARTICIPACIÓN CIUDADANA EN EL MUNICIPIO DE BUCARAMANGA</v>
      </c>
      <c r="E743" s="13" t="s">
        <v>1660</v>
      </c>
      <c r="F743" s="15">
        <v>2737</v>
      </c>
      <c r="G743" s="21" t="s">
        <v>35</v>
      </c>
      <c r="H743" s="21" t="s">
        <v>36</v>
      </c>
      <c r="I743" s="13" t="s">
        <v>909</v>
      </c>
      <c r="J743" s="13" t="s">
        <v>1505</v>
      </c>
      <c r="K743" s="16">
        <v>45100</v>
      </c>
      <c r="L743" s="17">
        <v>12000000</v>
      </c>
      <c r="M743" s="17">
        <v>12000000</v>
      </c>
      <c r="N743" s="18">
        <f>560000+2400000+2400000</f>
        <v>5360000</v>
      </c>
      <c r="O743" s="22" t="s">
        <v>1661</v>
      </c>
      <c r="Q743" s="13">
        <v>7074</v>
      </c>
      <c r="R743" s="13" t="s">
        <v>1462</v>
      </c>
      <c r="S743" s="13" t="s">
        <v>911</v>
      </c>
      <c r="T743" s="13" t="s">
        <v>16</v>
      </c>
      <c r="U743" s="17">
        <f t="shared" si="25"/>
        <v>6640000</v>
      </c>
    </row>
    <row r="744" spans="1:21" x14ac:dyDescent="0.3">
      <c r="A744" s="13">
        <v>285</v>
      </c>
      <c r="B744" s="13" t="str">
        <f>+VLOOKUP(A744,'[1]PA 2023'!$A$8:$E$84,5)</f>
        <v>Mantener en funcionamiento el 100% de los salones comunales que hacen parte del programa Ágoras.</v>
      </c>
      <c r="C744" s="14">
        <v>2022680010029</v>
      </c>
      <c r="D744" s="14" t="str">
        <f>+VLOOKUP(C744,'[1]PA 2023'!$G$8:$H$84,2,FALSE)</f>
        <v>FORTALECIMIENTO DE LA PARTICIPACIÓN CIUDADANA EN EL MUNICIPIO DE BUCARAMANGA</v>
      </c>
      <c r="E744" s="13" t="s">
        <v>1662</v>
      </c>
      <c r="F744" s="15">
        <v>2736</v>
      </c>
      <c r="G744" s="21" t="s">
        <v>35</v>
      </c>
      <c r="H744" s="21" t="s">
        <v>36</v>
      </c>
      <c r="I744" s="13" t="s">
        <v>582</v>
      </c>
      <c r="J744" s="13" t="s">
        <v>468</v>
      </c>
      <c r="K744" s="16">
        <v>45100</v>
      </c>
      <c r="L744" s="17">
        <v>9000000</v>
      </c>
      <c r="M744" s="17">
        <v>9000000</v>
      </c>
      <c r="N744" s="18">
        <f>420000+1800000+1800000</f>
        <v>4020000</v>
      </c>
      <c r="O744" s="22" t="s">
        <v>1663</v>
      </c>
      <c r="Q744" s="13">
        <v>7075</v>
      </c>
      <c r="R744" s="13" t="s">
        <v>134</v>
      </c>
      <c r="S744" s="13" t="s">
        <v>584</v>
      </c>
      <c r="T744" s="13" t="s">
        <v>16</v>
      </c>
      <c r="U744" s="17">
        <f t="shared" si="25"/>
        <v>4980000</v>
      </c>
    </row>
    <row r="745" spans="1:21" x14ac:dyDescent="0.3">
      <c r="A745" s="13">
        <v>71</v>
      </c>
      <c r="B745" s="13" t="str">
        <f>+VLOOKUP(A745,'[1]PA 2023'!$A$8:$E$84,5)</f>
        <v>Formular e implementar 1 estrategia de corresponsabilidad en la garantía de derechos, la prevención de vulneración, amenaza o riesgo en el ámbito familiar, comunitario e institucional.</v>
      </c>
      <c r="C745" s="14">
        <v>2021680010003</v>
      </c>
      <c r="D745" s="14" t="str">
        <f>+VLOOKUP(C745,'[1]PA 2023'!$G$8:$H$84,2,FALSE)</f>
        <v>IMPLEMENTACIÓN DE ESTRATEGIAS PSICOPEDAGÓGICAS PARA LA DISMINUCIÓN DE FACTORES DE RIESGO EN NIÑOS, NIÑAS Y ADOLESCENTES EN EL MUNICIPIO DE BUCARAMANGA</v>
      </c>
      <c r="E745" s="13" t="s">
        <v>1664</v>
      </c>
      <c r="F745" s="15">
        <v>2733</v>
      </c>
      <c r="G745" s="21" t="s">
        <v>43</v>
      </c>
      <c r="H745" s="21" t="s">
        <v>36</v>
      </c>
      <c r="I745" s="13" t="s">
        <v>464</v>
      </c>
      <c r="J745" s="13" t="s">
        <v>1607</v>
      </c>
      <c r="K745" s="16">
        <v>45100</v>
      </c>
      <c r="L745" s="17">
        <v>17500000</v>
      </c>
      <c r="M745" s="17">
        <v>17500000</v>
      </c>
      <c r="N745" s="18">
        <f>816666.67+3500000+3500000</f>
        <v>7816666.6699999999</v>
      </c>
      <c r="O745" s="22" t="s">
        <v>1665</v>
      </c>
      <c r="Q745" s="13">
        <v>7076</v>
      </c>
      <c r="R745" s="13" t="s">
        <v>1609</v>
      </c>
      <c r="S745" s="13" t="s">
        <v>466</v>
      </c>
      <c r="T745" s="13" t="s">
        <v>16</v>
      </c>
      <c r="U745" s="17">
        <f t="shared" si="25"/>
        <v>9683333.3300000001</v>
      </c>
    </row>
    <row r="746" spans="1:21" x14ac:dyDescent="0.3">
      <c r="A746" s="13">
        <v>283</v>
      </c>
      <c r="B746" s="13" t="str">
        <f>+VLOOKUP(A746,'[1]PA 2023'!$A$8:$E$84,5)</f>
        <v>Formular e implementar 1 estrategia que fortalezca la democracia participativa (Ley 1757 de 2015).</v>
      </c>
      <c r="C746" s="14">
        <v>2022680010029</v>
      </c>
      <c r="D746" s="14" t="str">
        <f>+VLOOKUP(C746,'[1]PA 2023'!$G$8:$H$84,2,FALSE)</f>
        <v>FORTALECIMIENTO DE LA PARTICIPACIÓN CIUDADANA EN EL MUNICIPIO DE BUCARAMANGA</v>
      </c>
      <c r="E746" s="13" t="s">
        <v>677</v>
      </c>
      <c r="F746" s="15">
        <v>2739</v>
      </c>
      <c r="G746" s="21" t="s">
        <v>43</v>
      </c>
      <c r="H746" s="21" t="s">
        <v>36</v>
      </c>
      <c r="I746" s="13" t="s">
        <v>561</v>
      </c>
      <c r="J746" s="13" t="s">
        <v>1505</v>
      </c>
      <c r="K746" s="16">
        <v>45100</v>
      </c>
      <c r="L746" s="17">
        <v>15000000</v>
      </c>
      <c r="M746" s="17">
        <v>15000000</v>
      </c>
      <c r="N746" s="18">
        <f>700000+3000000+3000000</f>
        <v>6700000</v>
      </c>
      <c r="O746" s="22" t="s">
        <v>1666</v>
      </c>
      <c r="Q746" s="13">
        <v>7077</v>
      </c>
      <c r="R746" s="13" t="s">
        <v>1462</v>
      </c>
      <c r="S746" s="13" t="s">
        <v>563</v>
      </c>
      <c r="T746" s="13" t="s">
        <v>16</v>
      </c>
      <c r="U746" s="17">
        <f t="shared" si="25"/>
        <v>8300000</v>
      </c>
    </row>
    <row r="747" spans="1:21" x14ac:dyDescent="0.3">
      <c r="A747" s="13">
        <v>95</v>
      </c>
      <c r="B747" s="13" t="str">
        <f>+VLOOKUP(A747,'[1]PA 2023'!$A$8:$E$84,5)</f>
        <v>Formular e implementar 1 estrategia que promueva  las actividades psicosociales, actividades artísticas y culturales,   actividades físicas y recreación y actividades productivas en las personas mayores.</v>
      </c>
      <c r="C747" s="14">
        <v>2020680010040</v>
      </c>
      <c r="D747" s="14" t="str">
        <f>+VLOOKUP(C747,'[1]PA 2023'!$G$8:$H$84,2,FALSE)</f>
        <v>IMPLEMENTACIÓN DE ACCIONES TENDIENTES A MEJORAR LAS CONDICIONES DE LOS ADULTOS MAYORES DEL MUNICIPIO DE BUCARAMANGA</v>
      </c>
      <c r="E747" s="13" t="s">
        <v>700</v>
      </c>
      <c r="F747" s="15">
        <v>2732</v>
      </c>
      <c r="G747" s="22" t="s">
        <v>43</v>
      </c>
      <c r="H747" s="21" t="s">
        <v>36</v>
      </c>
      <c r="I747" s="13" t="s">
        <v>701</v>
      </c>
      <c r="J747" s="13" t="s">
        <v>1554</v>
      </c>
      <c r="K747" s="16">
        <v>45100</v>
      </c>
      <c r="L747" s="17">
        <v>15000000</v>
      </c>
      <c r="M747" s="17">
        <v>15000000</v>
      </c>
      <c r="N747" s="18">
        <f>700000+3000000+3000000</f>
        <v>6700000</v>
      </c>
      <c r="O747" s="22" t="s">
        <v>1667</v>
      </c>
      <c r="Q747" s="13">
        <v>7078</v>
      </c>
      <c r="R747" s="13" t="s">
        <v>1556</v>
      </c>
      <c r="S747" s="13" t="s">
        <v>703</v>
      </c>
      <c r="T747" s="13" t="s">
        <v>16</v>
      </c>
      <c r="U747" s="17">
        <f t="shared" si="25"/>
        <v>8300000</v>
      </c>
    </row>
    <row r="748" spans="1:21" x14ac:dyDescent="0.3">
      <c r="A748" s="13">
        <v>72</v>
      </c>
      <c r="B748" s="13" t="str">
        <f>+VLOOKUP(A748,'[1]PA 2023'!$A$8:$E$84,5)</f>
        <v>Implementar 4 iniciativas que promueva la participación activa de niños y niñas desde la primera infancia en espacios de interés privados y públicos en los que se fortalezcan  habilidades para la vida, preparación para el proyecto de vida y el ejercicio de sus derechos.</v>
      </c>
      <c r="C748" s="14">
        <v>2021680010003</v>
      </c>
      <c r="D748" s="14" t="str">
        <f>+VLOOKUP(C748,'[1]PA 2023'!$G$8:$H$84,2,FALSE)</f>
        <v>IMPLEMENTACIÓN DE ESTRATEGIAS PSICOPEDAGÓGICAS PARA LA DISMINUCIÓN DE FACTORES DE RIESGO EN NIÑOS, NIÑAS Y ADOLESCENTES EN EL MUNICIPIO DE BUCARAMANGA</v>
      </c>
      <c r="E748" s="13" t="s">
        <v>1668</v>
      </c>
      <c r="F748" s="15">
        <v>2734</v>
      </c>
      <c r="G748" s="21" t="s">
        <v>43</v>
      </c>
      <c r="H748" s="21" t="s">
        <v>36</v>
      </c>
      <c r="I748" s="13" t="s">
        <v>917</v>
      </c>
      <c r="J748" s="13" t="s">
        <v>1578</v>
      </c>
      <c r="K748" s="16">
        <v>45100</v>
      </c>
      <c r="L748" s="17">
        <v>15000000</v>
      </c>
      <c r="M748" s="17">
        <v>15000000</v>
      </c>
      <c r="N748" s="18">
        <f>700000+3000000+3000000</f>
        <v>6700000</v>
      </c>
      <c r="O748" s="22" t="s">
        <v>1669</v>
      </c>
      <c r="Q748" s="13">
        <v>7079</v>
      </c>
      <c r="R748" s="13" t="s">
        <v>1580</v>
      </c>
      <c r="S748" s="13" t="s">
        <v>919</v>
      </c>
      <c r="T748" s="13" t="s">
        <v>16</v>
      </c>
      <c r="U748" s="17">
        <f t="shared" si="25"/>
        <v>8300000</v>
      </c>
    </row>
    <row r="749" spans="1:21" x14ac:dyDescent="0.3">
      <c r="A749" s="13">
        <v>98</v>
      </c>
      <c r="B749" s="13" t="str">
        <f>+VLOOKUP(A749,'[1]PA 2023'!$A$8:$E$84,5)</f>
        <v>Mantener el 100% del apoyo logístico a las familias beneficiadas del programa Familias en Acción.</v>
      </c>
      <c r="C749" s="14">
        <v>2020680010072</v>
      </c>
      <c r="D749" s="14" t="str">
        <f>+VLOOKUP(C749,'[1]PA 2023'!$G$8:$H$84,2,FALSE)</f>
        <v>APOYO A LA OPERATIVIDAD DEL PROGRAMA NACIONAL MÁS FAMILIAS EN ACCIÓN EN EL MUNICIPIO DE BUCARAMANGA</v>
      </c>
      <c r="E749" s="13" t="s">
        <v>1670</v>
      </c>
      <c r="F749" s="15">
        <v>2717</v>
      </c>
      <c r="G749" s="22" t="s">
        <v>35</v>
      </c>
      <c r="H749" s="21" t="s">
        <v>36</v>
      </c>
      <c r="I749" s="13" t="s">
        <v>932</v>
      </c>
      <c r="J749" s="13" t="s">
        <v>1466</v>
      </c>
      <c r="K749" s="16">
        <v>45100</v>
      </c>
      <c r="L749" s="17">
        <v>12000000</v>
      </c>
      <c r="M749" s="17">
        <v>12000000</v>
      </c>
      <c r="N749" s="18">
        <f>466666.67+2000000+2000000</f>
        <v>4466666.67</v>
      </c>
      <c r="O749" s="22" t="s">
        <v>1671</v>
      </c>
      <c r="Q749" s="13">
        <v>7080</v>
      </c>
      <c r="R749" s="13" t="s">
        <v>1468</v>
      </c>
      <c r="S749" s="13" t="s">
        <v>934</v>
      </c>
      <c r="T749" s="13" t="s">
        <v>16</v>
      </c>
      <c r="U749" s="17">
        <f t="shared" si="25"/>
        <v>7533333.3300000001</v>
      </c>
    </row>
    <row r="750" spans="1:21" x14ac:dyDescent="0.3">
      <c r="A750" s="13">
        <v>84</v>
      </c>
      <c r="B750" s="13" t="str">
        <f>+VLOOKUP(A750,'[1]PA 2023'!$A$8:$E$84,5)</f>
        <v>Sistematizar 4 buenas prácticas que aporten al desarrollo de las realizaciones establecidas para los niños, niñas y adolescentes en el marco del proceso de rendición pública de cuentas.</v>
      </c>
      <c r="C750" s="14">
        <v>2021680010003</v>
      </c>
      <c r="D750" s="14" t="str">
        <f>+VLOOKUP(C750,'[1]PA 2023'!$G$8:$H$84,2,FALSE)</f>
        <v>IMPLEMENTACIÓN DE ESTRATEGIAS PSICOPEDAGÓGICAS PARA LA DISMINUCIÓN DE FACTORES DE RIESGO EN NIÑOS, NIÑAS Y ADOLESCENTES EN EL MUNICIPIO DE BUCARAMANGA</v>
      </c>
      <c r="E750" s="13" t="s">
        <v>973</v>
      </c>
      <c r="F750" s="15">
        <v>2774</v>
      </c>
      <c r="G750" s="21" t="s">
        <v>43</v>
      </c>
      <c r="H750" s="21" t="s">
        <v>36</v>
      </c>
      <c r="I750" s="13" t="s">
        <v>974</v>
      </c>
      <c r="J750" s="13" t="s">
        <v>1578</v>
      </c>
      <c r="K750" s="16">
        <v>45101</v>
      </c>
      <c r="L750" s="17">
        <v>19600000</v>
      </c>
      <c r="M750" s="17">
        <v>19600000</v>
      </c>
      <c r="N750" s="18">
        <f>914666.67+3920000+3920000</f>
        <v>8754666.6699999999</v>
      </c>
      <c r="O750" s="22" t="s">
        <v>1672</v>
      </c>
      <c r="Q750" s="13">
        <v>7129</v>
      </c>
      <c r="R750" s="13" t="s">
        <v>1580</v>
      </c>
      <c r="S750" s="13" t="s">
        <v>976</v>
      </c>
      <c r="T750" s="13" t="s">
        <v>16</v>
      </c>
      <c r="U750" s="17">
        <f t="shared" si="25"/>
        <v>10845333.33</v>
      </c>
    </row>
    <row r="751" spans="1:21" x14ac:dyDescent="0.3">
      <c r="A751" s="13">
        <v>283</v>
      </c>
      <c r="B751" s="13" t="str">
        <f>+VLOOKUP(A751,'[1]PA 2023'!$A$8:$E$84,5)</f>
        <v>Formular e implementar 1 estrategia que fortalezca la democracia participativa (Ley 1757 de 2015).</v>
      </c>
      <c r="C751" s="14">
        <v>2022680010035</v>
      </c>
      <c r="D751" s="14" t="str">
        <f>+VLOOKUP(C751,'[1]PA 2023'!$G$8:$H$84,2,FALSE)</f>
        <v>FORTALECIMIENTO DE LA PARTICIPACIÓN E INCIDENCIA DE LAS EXPRESIONES E INSTITUCIONES DEMOCRÁTICAS JUVENILES DE LA CIUDAD DE BUCARAMANGA</v>
      </c>
      <c r="E751" s="13" t="s">
        <v>1673</v>
      </c>
      <c r="F751" s="15">
        <v>2777</v>
      </c>
      <c r="G751" s="22" t="s">
        <v>35</v>
      </c>
      <c r="H751" s="21" t="s">
        <v>36</v>
      </c>
      <c r="I751" s="13" t="s">
        <v>1276</v>
      </c>
      <c r="J751" s="13" t="s">
        <v>1505</v>
      </c>
      <c r="K751" s="16">
        <v>45101</v>
      </c>
      <c r="L751" s="17">
        <v>14400000</v>
      </c>
      <c r="M751" s="17">
        <v>14400000</v>
      </c>
      <c r="N751" s="18">
        <f>2400000+560000+2400000</f>
        <v>5360000</v>
      </c>
      <c r="O751" s="22" t="s">
        <v>1674</v>
      </c>
      <c r="Q751" s="13">
        <v>7130</v>
      </c>
      <c r="R751" s="13" t="s">
        <v>1462</v>
      </c>
      <c r="S751" s="13" t="s">
        <v>1278</v>
      </c>
      <c r="T751" s="13" t="s">
        <v>16</v>
      </c>
      <c r="U751" s="17">
        <f t="shared" si="25"/>
        <v>9040000</v>
      </c>
    </row>
    <row r="752" spans="1:21" x14ac:dyDescent="0.3">
      <c r="A752" s="13">
        <v>84</v>
      </c>
      <c r="B752" s="13" t="str">
        <f>+VLOOKUP(A752,'[1]PA 2023'!$A$8:$E$84,5)</f>
        <v>Sistematizar 4 buenas prácticas que aporten al desarrollo de las realizaciones establecidas para los niños, niñas y adolescentes en el marco del proceso de rendición pública de cuentas.</v>
      </c>
      <c r="C752" s="14">
        <v>2021680010003</v>
      </c>
      <c r="D752" s="14" t="str">
        <f>+VLOOKUP(C752,'[1]PA 2023'!$G$8:$H$84,2,FALSE)</f>
        <v>IMPLEMENTACIÓN DE ESTRATEGIAS PSICOPEDAGÓGICAS PARA LA DISMINUCIÓN DE FACTORES DE RIESGO EN NIÑOS, NIÑAS Y ADOLESCENTES EN EL MUNICIPIO DE BUCARAMANGA</v>
      </c>
      <c r="E752" s="13" t="s">
        <v>1675</v>
      </c>
      <c r="F752" s="15">
        <v>2757</v>
      </c>
      <c r="G752" s="21" t="s">
        <v>43</v>
      </c>
      <c r="H752" s="21" t="s">
        <v>36</v>
      </c>
      <c r="I752" s="13" t="s">
        <v>1001</v>
      </c>
      <c r="J752" s="13" t="s">
        <v>1578</v>
      </c>
      <c r="K752" s="16">
        <v>45101</v>
      </c>
      <c r="L752" s="17">
        <v>19600000</v>
      </c>
      <c r="M752" s="17">
        <v>19600000</v>
      </c>
      <c r="N752" s="18">
        <f>914666.67+3920000+3920000</f>
        <v>8754666.6699999999</v>
      </c>
      <c r="O752" s="22" t="s">
        <v>1676</v>
      </c>
      <c r="Q752" s="13">
        <v>7131</v>
      </c>
      <c r="R752" s="13" t="s">
        <v>1580</v>
      </c>
      <c r="S752" s="13" t="s">
        <v>1003</v>
      </c>
      <c r="T752" s="13" t="s">
        <v>16</v>
      </c>
      <c r="U752" s="17">
        <f t="shared" si="25"/>
        <v>10845333.33</v>
      </c>
    </row>
    <row r="753" spans="1:21" x14ac:dyDescent="0.3">
      <c r="A753" s="13">
        <v>73</v>
      </c>
      <c r="B753" s="13" t="str">
        <f>+VLOOKUP(A753,'[1]PA 2023'!$A$8:$E$84,5)</f>
        <v>Formular e implementar 1 programa para el reconocimiento de la construcción de la identidad de niños y niñas con una perspectiva de género dirigido a padres/madres y educadores.</v>
      </c>
      <c r="C753" s="14">
        <v>2021680010003</v>
      </c>
      <c r="D753" s="14" t="str">
        <f>+VLOOKUP(C753,'[1]PA 2023'!$G$8:$H$84,2,FALSE)</f>
        <v>IMPLEMENTACIÓN DE ESTRATEGIAS PSICOPEDAGÓGICAS PARA LA DISMINUCIÓN DE FACTORES DE RIESGO EN NIÑOS, NIÑAS Y ADOLESCENTES EN EL MUNICIPIO DE BUCARAMANGA</v>
      </c>
      <c r="E753" s="13" t="s">
        <v>304</v>
      </c>
      <c r="F753" s="15">
        <v>2752</v>
      </c>
      <c r="G753" s="21" t="s">
        <v>43</v>
      </c>
      <c r="H753" s="21" t="s">
        <v>36</v>
      </c>
      <c r="I753" s="13" t="s">
        <v>305</v>
      </c>
      <c r="J753" s="13" t="s">
        <v>1607</v>
      </c>
      <c r="K753" s="16">
        <v>45101</v>
      </c>
      <c r="L753" s="17">
        <v>17500000</v>
      </c>
      <c r="M753" s="17">
        <v>17500000</v>
      </c>
      <c r="N753" s="18">
        <f>816666.67+3500000+3500000</f>
        <v>7816666.6699999999</v>
      </c>
      <c r="O753" s="22" t="s">
        <v>1677</v>
      </c>
      <c r="Q753" s="13">
        <v>7132</v>
      </c>
      <c r="R753" s="13" t="s">
        <v>1609</v>
      </c>
      <c r="S753" s="13" t="s">
        <v>307</v>
      </c>
      <c r="T753" s="13" t="s">
        <v>16</v>
      </c>
      <c r="U753" s="17">
        <f t="shared" si="25"/>
        <v>9683333.3300000001</v>
      </c>
    </row>
    <row r="754" spans="1:21" x14ac:dyDescent="0.3">
      <c r="A754" s="13">
        <v>117</v>
      </c>
      <c r="B754" s="13" t="str">
        <f>+VLOOKUP(A754,'[1]PA 2023'!$A$8:$E$84,5)</f>
        <v>Formular e implementar 1 estrategia de orientación ocupacional, aprovechamiento del tiempo libre, formación y esparcimiento cultural y actividades que mejoren la calidad de vida dirigidas a personas con discapacidad.</v>
      </c>
      <c r="C754" s="14">
        <v>2020680010121</v>
      </c>
      <c r="D754" s="14" t="str">
        <f>+VLOOKUP(C754,'[1]PA 2023'!$G$8:$H$84,2,FALSE)</f>
        <v>APOYO A LA OPERATIVIDAD DE LOS PROGRAMAS DE ATENCIÓN INTEGRAL A LAS PERSONAS CON DISCAPACIDAD. FAMILIARES Y/O CUIDADORES DEL MUNICIPIO DE BUCARAMANGA</v>
      </c>
      <c r="E754" s="13" t="s">
        <v>1678</v>
      </c>
      <c r="F754" s="15">
        <v>2743</v>
      </c>
      <c r="G754" s="22" t="s">
        <v>35</v>
      </c>
      <c r="H754" s="21" t="s">
        <v>36</v>
      </c>
      <c r="I754" s="13" t="s">
        <v>514</v>
      </c>
      <c r="J754" s="13" t="s">
        <v>207</v>
      </c>
      <c r="K754" s="16">
        <v>45101</v>
      </c>
      <c r="L754" s="17">
        <v>11000000</v>
      </c>
      <c r="M754" s="17">
        <v>11000000</v>
      </c>
      <c r="N754" s="18">
        <f>513333.33+2200000+2200000</f>
        <v>4913333.33</v>
      </c>
      <c r="O754" s="22" t="s">
        <v>1679</v>
      </c>
      <c r="Q754" s="13">
        <v>7133</v>
      </c>
      <c r="R754" s="13" t="s">
        <v>193</v>
      </c>
      <c r="S754" s="13" t="s">
        <v>516</v>
      </c>
      <c r="T754" s="13" t="s">
        <v>16</v>
      </c>
      <c r="U754" s="17">
        <f t="shared" si="25"/>
        <v>6086666.6699999999</v>
      </c>
    </row>
    <row r="755" spans="1:21" x14ac:dyDescent="0.3">
      <c r="A755" s="13">
        <v>285</v>
      </c>
      <c r="B755" s="13" t="str">
        <f>+VLOOKUP(A755,'[1]PA 2023'!$A$8:$E$84,5)</f>
        <v>Mantener en funcionamiento el 100% de los salones comunales que hacen parte del programa Ágoras.</v>
      </c>
      <c r="C755" s="14">
        <v>2022680010029</v>
      </c>
      <c r="D755" s="14" t="str">
        <f>+VLOOKUP(C755,'[1]PA 2023'!$G$8:$H$84,2,FALSE)</f>
        <v>FORTALECIMIENTO DE LA PARTICIPACIÓN CIUDADANA EN EL MUNICIPIO DE BUCARAMANGA</v>
      </c>
      <c r="E755" s="13" t="s">
        <v>1027</v>
      </c>
      <c r="F755" s="15">
        <v>2771</v>
      </c>
      <c r="G755" s="21" t="s">
        <v>35</v>
      </c>
      <c r="H755" s="21" t="s">
        <v>36</v>
      </c>
      <c r="I755" s="13" t="s">
        <v>652</v>
      </c>
      <c r="J755" s="13" t="s">
        <v>1505</v>
      </c>
      <c r="K755" s="16">
        <v>45101</v>
      </c>
      <c r="L755" s="17">
        <v>9000000</v>
      </c>
      <c r="M755" s="17">
        <v>9000000</v>
      </c>
      <c r="N755" s="18">
        <f>420000+1800000+1800000</f>
        <v>4020000</v>
      </c>
      <c r="O755" s="22" t="s">
        <v>1680</v>
      </c>
      <c r="Q755" s="13">
        <v>7204</v>
      </c>
      <c r="R755" s="13" t="s">
        <v>1462</v>
      </c>
      <c r="S755" s="13" t="s">
        <v>654</v>
      </c>
      <c r="T755" s="13" t="s">
        <v>16</v>
      </c>
      <c r="U755" s="17">
        <f t="shared" si="25"/>
        <v>4980000</v>
      </c>
    </row>
    <row r="756" spans="1:21" x14ac:dyDescent="0.3">
      <c r="A756" s="13">
        <v>285</v>
      </c>
      <c r="B756" s="13" t="str">
        <f>+VLOOKUP(A756,'[1]PA 2023'!$A$8:$E$84,5)</f>
        <v>Mantener en funcionamiento el 100% de los salones comunales que hacen parte del programa Ágoras.</v>
      </c>
      <c r="C756" s="14">
        <v>2022680010029</v>
      </c>
      <c r="D756" s="14" t="str">
        <f>+VLOOKUP(C756,'[1]PA 2023'!$G$8:$H$84,2,FALSE)</f>
        <v>FORTALECIMIENTO DE LA PARTICIPACIÓN CIUDADANA EN EL MUNICIPIO DE BUCARAMANGA</v>
      </c>
      <c r="E756" s="13" t="s">
        <v>1681</v>
      </c>
      <c r="F756" s="15">
        <v>2791</v>
      </c>
      <c r="G756" s="21" t="s">
        <v>35</v>
      </c>
      <c r="H756" s="21" t="s">
        <v>36</v>
      </c>
      <c r="I756" s="13" t="s">
        <v>727</v>
      </c>
      <c r="J756" s="13" t="s">
        <v>1505</v>
      </c>
      <c r="K756" s="16">
        <v>45101</v>
      </c>
      <c r="L756" s="17">
        <v>9000000</v>
      </c>
      <c r="M756" s="17">
        <v>9000000</v>
      </c>
      <c r="N756" s="18">
        <f>300000+1800000+1800000</f>
        <v>3900000</v>
      </c>
      <c r="O756" s="22" t="s">
        <v>1682</v>
      </c>
      <c r="Q756" s="13">
        <v>7205</v>
      </c>
      <c r="R756" s="13" t="s">
        <v>1462</v>
      </c>
      <c r="S756" s="13" t="s">
        <v>729</v>
      </c>
      <c r="T756" s="13" t="s">
        <v>16</v>
      </c>
      <c r="U756" s="17">
        <f t="shared" si="25"/>
        <v>5100000</v>
      </c>
    </row>
    <row r="757" spans="1:21" x14ac:dyDescent="0.3">
      <c r="A757" s="13">
        <v>285</v>
      </c>
      <c r="B757" s="13" t="str">
        <f>+VLOOKUP(A757,'[1]PA 2023'!$A$8:$E$84,5)</f>
        <v>Mantener en funcionamiento el 100% de los salones comunales que hacen parte del programa Ágoras.</v>
      </c>
      <c r="C757" s="14">
        <v>2022680010029</v>
      </c>
      <c r="D757" s="14" t="str">
        <f>+VLOOKUP(C757,'[1]PA 2023'!$G$8:$H$84,2,FALSE)</f>
        <v>FORTALECIMIENTO DE LA PARTICIPACIÓN CIUDADANA EN EL MUNICIPIO DE BUCARAMANGA</v>
      </c>
      <c r="E757" s="13" t="s">
        <v>1681</v>
      </c>
      <c r="F757" s="15">
        <v>2793</v>
      </c>
      <c r="G757" s="21" t="s">
        <v>35</v>
      </c>
      <c r="H757" s="21" t="s">
        <v>36</v>
      </c>
      <c r="I757" s="13" t="s">
        <v>772</v>
      </c>
      <c r="J757" s="13" t="s">
        <v>1505</v>
      </c>
      <c r="K757" s="16">
        <v>45101</v>
      </c>
      <c r="L757" s="17">
        <v>9000000</v>
      </c>
      <c r="M757" s="17">
        <v>9000000</v>
      </c>
      <c r="N757" s="18">
        <f>300000+1800000+1800000</f>
        <v>3900000</v>
      </c>
      <c r="O757" s="22" t="s">
        <v>1683</v>
      </c>
      <c r="Q757" s="13">
        <v>7206</v>
      </c>
      <c r="R757" s="13" t="s">
        <v>1462</v>
      </c>
      <c r="S757" s="13" t="s">
        <v>774</v>
      </c>
      <c r="T757" s="13" t="s">
        <v>16</v>
      </c>
      <c r="U757" s="17">
        <f t="shared" si="25"/>
        <v>5100000</v>
      </c>
    </row>
    <row r="758" spans="1:21" x14ac:dyDescent="0.3">
      <c r="A758" s="13">
        <v>206</v>
      </c>
      <c r="B758" s="13" t="str">
        <f>+VLOOKUP(A758,'[1]PA 2023'!$A$8:$E$84,5)</f>
        <v>Mantener el Plan General de Asistencia Técnica.</v>
      </c>
      <c r="C758" s="14">
        <v>2020680010123</v>
      </c>
      <c r="D758" s="14" t="str">
        <f>+VLOOKUP(C758,'[1]PA 2023'!$G$8:$H$84,2,FALSE)</f>
        <v>FORTALECIMIENTO DE LA PRODUCTIVIDAD Y COMPETITIVIDAD AGROPECUARIA EN EL SECTOR RURAL DEL MUNICIPIO DE BUCARAMANGA</v>
      </c>
      <c r="E758" s="13" t="s">
        <v>1684</v>
      </c>
      <c r="F758" s="15">
        <v>2780</v>
      </c>
      <c r="G758" s="22" t="s">
        <v>35</v>
      </c>
      <c r="H758" s="21" t="s">
        <v>36</v>
      </c>
      <c r="I758" s="13" t="s">
        <v>840</v>
      </c>
      <c r="J758" s="13" t="s">
        <v>1685</v>
      </c>
      <c r="K758" s="16">
        <v>45101</v>
      </c>
      <c r="L758" s="17">
        <v>15000000</v>
      </c>
      <c r="M758" s="17">
        <v>15000000</v>
      </c>
      <c r="N758" s="18">
        <f>416666.67+2500000+2500000</f>
        <v>5416666.6699999999</v>
      </c>
      <c r="O758" s="22" t="s">
        <v>1686</v>
      </c>
      <c r="Q758" s="13">
        <v>7207</v>
      </c>
      <c r="R758" s="13" t="s">
        <v>1687</v>
      </c>
      <c r="S758" s="13" t="s">
        <v>842</v>
      </c>
      <c r="T758" s="13" t="s">
        <v>16</v>
      </c>
      <c r="U758" s="17">
        <f t="shared" si="25"/>
        <v>9583333.3300000001</v>
      </c>
    </row>
    <row r="759" spans="1:21" x14ac:dyDescent="0.3">
      <c r="A759" s="13">
        <v>300</v>
      </c>
      <c r="B759" s="13" t="str">
        <f>+VLOOKUP(A759,'[1]PA 2023'!$A$8:$E$84,5)</f>
        <v>Mantener el 100% de los programas que desarrolla la Administración Central.</v>
      </c>
      <c r="C759" s="14">
        <v>2023680010016</v>
      </c>
      <c r="D759" s="14" t="str">
        <f>+VLOOKUP(C759,'[1]PA 2023'!$G$8:$H$84,2,FALSE)</f>
        <v>APOYO A LA GESTIÓN ADMINISTRATIVA Y PROCESOS TRANSVERSALES DE LA SECRETARIA DE DESARROLLO SOCIAL DEL MUNICIPIO DE BUCARAMANGA</v>
      </c>
      <c r="E759" s="13" t="s">
        <v>1688</v>
      </c>
      <c r="F759" s="15">
        <v>2786</v>
      </c>
      <c r="G759" s="21" t="s">
        <v>43</v>
      </c>
      <c r="H759" s="21" t="s">
        <v>36</v>
      </c>
      <c r="I759" s="13" t="s">
        <v>1689</v>
      </c>
      <c r="J759" s="13" t="s">
        <v>1414</v>
      </c>
      <c r="K759" s="16">
        <v>45101</v>
      </c>
      <c r="L759" s="17">
        <v>24000000</v>
      </c>
      <c r="M759" s="17">
        <v>24000000</v>
      </c>
      <c r="N759" s="18">
        <f>666666.67+4000000+4000000</f>
        <v>8666666.6699999999</v>
      </c>
      <c r="O759" s="22" t="s">
        <v>1690</v>
      </c>
      <c r="Q759" s="13">
        <v>7208</v>
      </c>
      <c r="R759" s="13" t="s">
        <v>1416</v>
      </c>
      <c r="S759" s="13" t="s">
        <v>1691</v>
      </c>
      <c r="T759" s="13" t="s">
        <v>16</v>
      </c>
      <c r="U759" s="17">
        <f t="shared" si="25"/>
        <v>15333333.33</v>
      </c>
    </row>
    <row r="760" spans="1:21" x14ac:dyDescent="0.3">
      <c r="A760" s="13">
        <v>285</v>
      </c>
      <c r="B760" s="13" t="str">
        <f>+VLOOKUP(A760,'[1]PA 2023'!$A$8:$E$84,5)</f>
        <v>Mantener en funcionamiento el 100% de los salones comunales que hacen parte del programa Ágoras.</v>
      </c>
      <c r="C760" s="14">
        <v>2022680010029</v>
      </c>
      <c r="D760" s="14" t="str">
        <f>+VLOOKUP(C760,'[1]PA 2023'!$G$8:$H$84,2,FALSE)</f>
        <v>FORTALECIMIENTO DE LA PARTICIPACIÓN CIUDADANA EN EL MUNICIPIO DE BUCARAMANGA</v>
      </c>
      <c r="E760" s="13" t="s">
        <v>1681</v>
      </c>
      <c r="F760" s="15">
        <v>2787</v>
      </c>
      <c r="G760" s="21" t="s">
        <v>35</v>
      </c>
      <c r="H760" s="21" t="s">
        <v>36</v>
      </c>
      <c r="I760" s="13" t="s">
        <v>649</v>
      </c>
      <c r="J760" s="13" t="s">
        <v>468</v>
      </c>
      <c r="K760" s="16">
        <v>45101</v>
      </c>
      <c r="L760" s="17">
        <v>9000000</v>
      </c>
      <c r="M760" s="17">
        <v>9000000</v>
      </c>
      <c r="N760" s="18">
        <f>240000+1800000+1800000</f>
        <v>3840000</v>
      </c>
      <c r="O760" s="22" t="s">
        <v>1692</v>
      </c>
      <c r="Q760" s="13">
        <v>7209</v>
      </c>
      <c r="R760" s="13" t="s">
        <v>134</v>
      </c>
      <c r="S760" s="13" t="s">
        <v>651</v>
      </c>
      <c r="T760" s="13" t="s">
        <v>16</v>
      </c>
      <c r="U760" s="17">
        <f t="shared" si="25"/>
        <v>5160000</v>
      </c>
    </row>
    <row r="761" spans="1:21" x14ac:dyDescent="0.3">
      <c r="A761" s="13">
        <v>101</v>
      </c>
      <c r="B761" s="13" t="str">
        <f>+VLOOKUP(A761,'[1]PA 2023'!$A$8:$E$84,5)</f>
        <v>Atender y mantener de manera integral desde el componente psicosociojurídico y social a 600 mujeres, niñas y personas considerando los enfoques diferenciales y diversidad sexual.</v>
      </c>
      <c r="C761" s="14">
        <v>2023680010015</v>
      </c>
      <c r="D761" s="14" t="str">
        <f>+VLOOKUP(C761,'[1]PA 2023'!$G$8:$H$84,2,FALSE)</f>
        <v>FORTALECIMIENTO DE ACCIONES ORIENTADAS AL CIERRE DE BRECHAS DE GÉNERO PARA MUJERES Y POBLACIÓN CON ORIENTACIONES SEXUALES E IDENTIDADES DE GÉNERO DIVERSAS DEL MUNICIPIO DE BUCARAMANGA</v>
      </c>
      <c r="E761" s="13" t="s">
        <v>1693</v>
      </c>
      <c r="F761" s="15">
        <v>2788</v>
      </c>
      <c r="G761" s="21" t="s">
        <v>43</v>
      </c>
      <c r="H761" s="21" t="s">
        <v>36</v>
      </c>
      <c r="I761" s="13" t="s">
        <v>1301</v>
      </c>
      <c r="J761" s="13" t="s">
        <v>1488</v>
      </c>
      <c r="K761" s="16">
        <v>45101</v>
      </c>
      <c r="L761" s="17">
        <v>15000000</v>
      </c>
      <c r="M761" s="17">
        <v>15000000</v>
      </c>
      <c r="N761" s="18">
        <f>500000+3000000+3000000</f>
        <v>6500000</v>
      </c>
      <c r="O761" s="22" t="s">
        <v>1694</v>
      </c>
      <c r="Q761" s="13">
        <v>7210</v>
      </c>
      <c r="R761" s="13" t="s">
        <v>1490</v>
      </c>
      <c r="S761" s="13" t="s">
        <v>1303</v>
      </c>
      <c r="T761" s="13" t="s">
        <v>16</v>
      </c>
      <c r="U761" s="17">
        <f t="shared" si="25"/>
        <v>8500000</v>
      </c>
    </row>
    <row r="762" spans="1:21" x14ac:dyDescent="0.3">
      <c r="A762" s="13">
        <v>78</v>
      </c>
      <c r="B762" s="13" t="str">
        <f>+VLOOKUP(A762,'[1]PA 2023'!$A$8:$E$84,5)</f>
        <v>Formular e implementar 1 ruta de atención integral para niños, niñas, adolescentes refugiados y migrantes y sus familias.</v>
      </c>
      <c r="C762" s="14">
        <v>2021680010003</v>
      </c>
      <c r="D762" s="14" t="str">
        <f>+VLOOKUP(C762,'[1]PA 2023'!$G$8:$H$84,2,FALSE)</f>
        <v>IMPLEMENTACIÓN DE ESTRATEGIAS PSICOPEDAGÓGICAS PARA LA DISMINUCIÓN DE FACTORES DE RIESGO EN NIÑOS, NIÑAS Y ADOLESCENTES EN EL MUNICIPIO DE BUCARAMANGA</v>
      </c>
      <c r="E762" s="13" t="s">
        <v>1695</v>
      </c>
      <c r="F762" s="15">
        <v>2775</v>
      </c>
      <c r="G762" s="21" t="s">
        <v>35</v>
      </c>
      <c r="H762" s="21" t="s">
        <v>36</v>
      </c>
      <c r="I762" s="13" t="s">
        <v>1195</v>
      </c>
      <c r="J762" s="13" t="s">
        <v>1578</v>
      </c>
      <c r="K762" s="16">
        <v>45103</v>
      </c>
      <c r="L762" s="17">
        <v>12500000</v>
      </c>
      <c r="M762" s="17">
        <v>12500000</v>
      </c>
      <c r="N762" s="18">
        <f>416666.67+2500000+2500000</f>
        <v>5416666.6699999999</v>
      </c>
      <c r="O762" s="22" t="s">
        <v>1696</v>
      </c>
      <c r="Q762" s="13">
        <v>7409</v>
      </c>
      <c r="R762" s="13" t="s">
        <v>1580</v>
      </c>
      <c r="S762" s="13" t="s">
        <v>1197</v>
      </c>
      <c r="T762" s="13" t="s">
        <v>16</v>
      </c>
      <c r="U762" s="17">
        <f t="shared" ref="U762:U799" si="26">+M762-N762</f>
        <v>7083333.3300000001</v>
      </c>
    </row>
    <row r="763" spans="1:21" x14ac:dyDescent="0.3">
      <c r="A763" s="13">
        <v>285</v>
      </c>
      <c r="B763" s="13" t="str">
        <f>+VLOOKUP(A763,'[1]PA 2023'!$A$8:$E$84,5)</f>
        <v>Mantener en funcionamiento el 100% de los salones comunales que hacen parte del programa Ágoras.</v>
      </c>
      <c r="C763" s="14">
        <v>2022680010029</v>
      </c>
      <c r="D763" s="14" t="str">
        <f>+VLOOKUP(C763,'[1]PA 2023'!$G$8:$H$84,2,FALSE)</f>
        <v>FORTALECIMIENTO DE LA PARTICIPACIÓN CIUDADANA EN EL MUNICIPIO DE BUCARAMANGA</v>
      </c>
      <c r="E763" s="13" t="s">
        <v>1697</v>
      </c>
      <c r="F763" s="15">
        <v>2801</v>
      </c>
      <c r="G763" s="21" t="s">
        <v>35</v>
      </c>
      <c r="H763" s="21" t="s">
        <v>36</v>
      </c>
      <c r="I763" s="13" t="s">
        <v>832</v>
      </c>
      <c r="J763" s="13" t="s">
        <v>468</v>
      </c>
      <c r="K763" s="16">
        <v>45103</v>
      </c>
      <c r="L763" s="17">
        <v>6000000</v>
      </c>
      <c r="M763" s="17">
        <v>6000000</v>
      </c>
      <c r="N763" s="18">
        <f>240000+1800000</f>
        <v>2040000</v>
      </c>
      <c r="O763" s="22" t="s">
        <v>1698</v>
      </c>
      <c r="Q763" s="13">
        <v>7451</v>
      </c>
      <c r="R763" s="23" t="s">
        <v>134</v>
      </c>
      <c r="S763" s="13" t="s">
        <v>834</v>
      </c>
      <c r="T763" s="13" t="s">
        <v>16</v>
      </c>
      <c r="U763" s="17">
        <f t="shared" si="26"/>
        <v>3960000</v>
      </c>
    </row>
    <row r="764" spans="1:21" x14ac:dyDescent="0.3">
      <c r="A764" s="13">
        <v>285</v>
      </c>
      <c r="B764" s="13" t="str">
        <f>+VLOOKUP(A764,'[1]PA 2023'!$A$8:$E$84,5)</f>
        <v>Mantener en funcionamiento el 100% de los salones comunales que hacen parte del programa Ágoras.</v>
      </c>
      <c r="C764" s="14">
        <v>2022680010029</v>
      </c>
      <c r="D764" s="14" t="str">
        <f>+VLOOKUP(C764,'[1]PA 2023'!$G$8:$H$84,2,FALSE)</f>
        <v>FORTALECIMIENTO DE LA PARTICIPACIÓN CIUDADANA EN EL MUNICIPIO DE BUCARAMANGA</v>
      </c>
      <c r="E764" s="13" t="s">
        <v>1697</v>
      </c>
      <c r="F764" s="15">
        <v>2801</v>
      </c>
      <c r="G764" s="21" t="s">
        <v>35</v>
      </c>
      <c r="H764" s="21" t="s">
        <v>36</v>
      </c>
      <c r="I764" s="13" t="s">
        <v>832</v>
      </c>
      <c r="J764" s="13" t="s">
        <v>1505</v>
      </c>
      <c r="K764" s="16">
        <v>45103</v>
      </c>
      <c r="L764" s="17">
        <v>3000000</v>
      </c>
      <c r="M764" s="17">
        <v>3000000</v>
      </c>
      <c r="N764" s="18">
        <v>1800000</v>
      </c>
      <c r="O764" s="22" t="s">
        <v>1698</v>
      </c>
      <c r="Q764" s="13">
        <v>7451</v>
      </c>
      <c r="R764" s="23" t="s">
        <v>1462</v>
      </c>
      <c r="S764" s="13" t="s">
        <v>834</v>
      </c>
      <c r="T764" s="13" t="s">
        <v>16</v>
      </c>
      <c r="U764" s="17">
        <f t="shared" si="26"/>
        <v>1200000</v>
      </c>
    </row>
    <row r="765" spans="1:21" x14ac:dyDescent="0.3">
      <c r="A765" s="13">
        <v>283</v>
      </c>
      <c r="B765" s="13" t="str">
        <f>+VLOOKUP(A765,'[1]PA 2023'!$A$8:$E$84,5)</f>
        <v>Formular e implementar 1 estrategia que fortalezca la democracia participativa (Ley 1757 de 2015).</v>
      </c>
      <c r="C765" s="14">
        <v>2022680010029</v>
      </c>
      <c r="D765" s="14" t="str">
        <f>+VLOOKUP(C765,'[1]PA 2023'!$G$8:$H$84,2,FALSE)</f>
        <v>FORTALECIMIENTO DE LA PARTICIPACIÓN CIUDADANA EN EL MUNICIPIO DE BUCARAMANGA</v>
      </c>
      <c r="E765" s="13" t="s">
        <v>677</v>
      </c>
      <c r="F765" s="15">
        <v>2792</v>
      </c>
      <c r="G765" s="21" t="s">
        <v>43</v>
      </c>
      <c r="H765" s="21" t="s">
        <v>36</v>
      </c>
      <c r="I765" s="13" t="s">
        <v>678</v>
      </c>
      <c r="J765" s="13" t="s">
        <v>1505</v>
      </c>
      <c r="K765" s="16">
        <v>45103</v>
      </c>
      <c r="L765" s="17">
        <v>19000000</v>
      </c>
      <c r="M765" s="17">
        <v>19000000</v>
      </c>
      <c r="N765" s="18">
        <f>633333.33+3800000+3800000</f>
        <v>8233333.3300000001</v>
      </c>
      <c r="O765" s="22" t="s">
        <v>1699</v>
      </c>
      <c r="Q765" s="13">
        <v>7460</v>
      </c>
      <c r="R765" s="13" t="s">
        <v>1462</v>
      </c>
      <c r="S765" s="13" t="s">
        <v>680</v>
      </c>
      <c r="T765" s="13" t="s">
        <v>16</v>
      </c>
      <c r="U765" s="17">
        <f t="shared" si="26"/>
        <v>10766666.67</v>
      </c>
    </row>
    <row r="766" spans="1:21" x14ac:dyDescent="0.3">
      <c r="A766" s="13">
        <v>285</v>
      </c>
      <c r="B766" s="13" t="str">
        <f>+VLOOKUP(A766,'[1]PA 2023'!$A$8:$E$84,5)</f>
        <v>Mantener en funcionamiento el 100% de los salones comunales que hacen parte del programa Ágoras.</v>
      </c>
      <c r="C766" s="14">
        <v>2022680010029</v>
      </c>
      <c r="D766" s="14" t="str">
        <f>+VLOOKUP(C766,'[1]PA 2023'!$G$8:$H$84,2,FALSE)</f>
        <v>FORTALECIMIENTO DE LA PARTICIPACIÓN CIUDADANA EN EL MUNICIPIO DE BUCARAMANGA</v>
      </c>
      <c r="E766" s="13" t="s">
        <v>1681</v>
      </c>
      <c r="F766" s="15">
        <v>2820</v>
      </c>
      <c r="G766" s="21" t="s">
        <v>35</v>
      </c>
      <c r="H766" s="21" t="s">
        <v>36</v>
      </c>
      <c r="I766" s="13" t="s">
        <v>741</v>
      </c>
      <c r="J766" s="13" t="s">
        <v>1505</v>
      </c>
      <c r="K766" s="16">
        <v>45103</v>
      </c>
      <c r="L766" s="17">
        <v>9000000</v>
      </c>
      <c r="M766" s="17">
        <v>9000000</v>
      </c>
      <c r="N766" s="18">
        <f>240000+1800000+1800000</f>
        <v>3840000</v>
      </c>
      <c r="O766" s="22" t="s">
        <v>1700</v>
      </c>
      <c r="Q766" s="13">
        <v>7477</v>
      </c>
      <c r="R766" s="13" t="s">
        <v>1462</v>
      </c>
      <c r="S766" s="13" t="s">
        <v>743</v>
      </c>
      <c r="T766" s="13" t="s">
        <v>16</v>
      </c>
      <c r="U766" s="17">
        <f t="shared" si="26"/>
        <v>5160000</v>
      </c>
    </row>
    <row r="767" spans="1:21" x14ac:dyDescent="0.3">
      <c r="A767" s="13">
        <v>206</v>
      </c>
      <c r="B767" s="13" t="str">
        <f>+VLOOKUP(A767,'[1]PA 2023'!$A$8:$E$84,5)</f>
        <v>Mantener el Plan General de Asistencia Técnica.</v>
      </c>
      <c r="C767" s="14">
        <v>2020680010123</v>
      </c>
      <c r="D767" s="14" t="str">
        <f>+VLOOKUP(C767,'[1]PA 2023'!$G$8:$H$84,2,FALSE)</f>
        <v>FORTALECIMIENTO DE LA PRODUCTIVIDAD Y COMPETITIVIDAD AGROPECUARIA EN EL SECTOR RURAL DEL MUNICIPIO DE BUCARAMANGA</v>
      </c>
      <c r="E767" s="13" t="s">
        <v>1701</v>
      </c>
      <c r="F767" s="15">
        <v>2851</v>
      </c>
      <c r="G767" s="22" t="s">
        <v>35</v>
      </c>
      <c r="H767" s="21" t="s">
        <v>36</v>
      </c>
      <c r="I767" s="13" t="s">
        <v>1119</v>
      </c>
      <c r="J767" s="13" t="s">
        <v>1685</v>
      </c>
      <c r="K767" s="16">
        <v>45104</v>
      </c>
      <c r="L767" s="17">
        <v>11000000</v>
      </c>
      <c r="M767" s="17">
        <v>11000000</v>
      </c>
      <c r="N767" s="18">
        <f>266666.67+2000000+2000000</f>
        <v>4266666.67</v>
      </c>
      <c r="O767" s="22" t="s">
        <v>1702</v>
      </c>
      <c r="Q767" s="13">
        <v>7523</v>
      </c>
      <c r="R767" s="13" t="s">
        <v>1687</v>
      </c>
      <c r="S767" s="13" t="s">
        <v>1121</v>
      </c>
      <c r="T767" s="13" t="s">
        <v>16</v>
      </c>
      <c r="U767" s="17">
        <f t="shared" si="26"/>
        <v>6733333.3300000001</v>
      </c>
    </row>
    <row r="768" spans="1:21" x14ac:dyDescent="0.3">
      <c r="A768" s="13">
        <v>206</v>
      </c>
      <c r="B768" s="13" t="str">
        <f>+VLOOKUP(A768,'[1]PA 2023'!$A$8:$E$84,5)</f>
        <v>Mantener el Plan General de Asistencia Técnica.</v>
      </c>
      <c r="C768" s="14">
        <v>2020680010123</v>
      </c>
      <c r="D768" s="14" t="str">
        <f>+VLOOKUP(C768,'[1]PA 2023'!$G$8:$H$84,2,FALSE)</f>
        <v>FORTALECIMIENTO DE LA PRODUCTIVIDAD Y COMPETITIVIDAD AGROPECUARIA EN EL SECTOR RURAL DEL MUNICIPIO DE BUCARAMANGA</v>
      </c>
      <c r="E768" s="13" t="s">
        <v>1703</v>
      </c>
      <c r="F768" s="15">
        <v>2847</v>
      </c>
      <c r="G768" s="22" t="s">
        <v>35</v>
      </c>
      <c r="H768" s="21" t="s">
        <v>36</v>
      </c>
      <c r="I768" s="13" t="s">
        <v>1096</v>
      </c>
      <c r="J768" s="13" t="s">
        <v>1685</v>
      </c>
      <c r="K768" s="16">
        <v>45104</v>
      </c>
      <c r="L768" s="17">
        <v>11000000</v>
      </c>
      <c r="M768" s="17">
        <v>11000000</v>
      </c>
      <c r="N768" s="18">
        <f>266666.67+2000000+2000000</f>
        <v>4266666.67</v>
      </c>
      <c r="O768" s="22" t="s">
        <v>1704</v>
      </c>
      <c r="Q768" s="13">
        <v>7524</v>
      </c>
      <c r="R768" s="13" t="s">
        <v>1687</v>
      </c>
      <c r="S768" s="13" t="s">
        <v>1098</v>
      </c>
      <c r="T768" s="13" t="s">
        <v>16</v>
      </c>
      <c r="U768" s="17">
        <f t="shared" si="26"/>
        <v>6733333.3300000001</v>
      </c>
    </row>
    <row r="769" spans="1:21" x14ac:dyDescent="0.3">
      <c r="A769" s="13">
        <v>107</v>
      </c>
      <c r="B769" s="13" t="str">
        <f>+VLOOKUP(A769,'[1]PA 2023'!$A$8:$E$84,5)</f>
        <v>Formular e implementar 1 política pública para la población con orientación sexual e identidad de género diversa.</v>
      </c>
      <c r="C769" s="14">
        <v>2020680010106</v>
      </c>
      <c r="D769" s="14" t="str">
        <f>+VLOOKUP(C769,'[1]PA 2023'!$G$8:$H$84,2,FALSE)</f>
        <v>FORTALECIMIENTO DE ESPACIOS DE PARTICIPACIÓN Y PREVENCIÓN DE VIOLENCIAS EN MUJERES Y POBLACIÓN CON ORIENTACIONES SEXUALES E IDENTIDADES DE GÉNERO DIVERSAS DEL MUNICIPIO DE BUCARAMANGA</v>
      </c>
      <c r="E769" s="13" t="s">
        <v>1705</v>
      </c>
      <c r="F769" s="15">
        <v>2853</v>
      </c>
      <c r="G769" s="21" t="s">
        <v>35</v>
      </c>
      <c r="H769" s="21" t="s">
        <v>36</v>
      </c>
      <c r="I769" s="13" t="s">
        <v>487</v>
      </c>
      <c r="J769" s="13" t="s">
        <v>378</v>
      </c>
      <c r="K769" s="16">
        <v>45104</v>
      </c>
      <c r="L769" s="17">
        <v>10000000</v>
      </c>
      <c r="M769" s="17">
        <v>10000000</v>
      </c>
      <c r="N769" s="18">
        <f>266666.67+2000000+2000000</f>
        <v>4266666.67</v>
      </c>
      <c r="O769" s="22" t="s">
        <v>1706</v>
      </c>
      <c r="Q769" s="13">
        <v>7525</v>
      </c>
      <c r="R769" s="13" t="s">
        <v>380</v>
      </c>
      <c r="S769" s="13" t="s">
        <v>489</v>
      </c>
      <c r="T769" s="13" t="s">
        <v>16</v>
      </c>
      <c r="U769" s="17">
        <f t="shared" si="26"/>
        <v>5733333.3300000001</v>
      </c>
    </row>
    <row r="770" spans="1:21" x14ac:dyDescent="0.3">
      <c r="A770" s="13">
        <v>283</v>
      </c>
      <c r="B770" s="13" t="str">
        <f>+VLOOKUP(A770,'[1]PA 2023'!$A$8:$E$84,5)</f>
        <v>Formular e implementar 1 estrategia que fortalezca la democracia participativa (Ley 1757 de 2015).</v>
      </c>
      <c r="C770" s="14">
        <v>2022680010029</v>
      </c>
      <c r="D770" s="14" t="str">
        <f>+VLOOKUP(C770,'[1]PA 2023'!$G$8:$H$84,2,FALSE)</f>
        <v>FORTALECIMIENTO DE LA PARTICIPACIÓN CIUDADANA EN EL MUNICIPIO DE BUCARAMANGA</v>
      </c>
      <c r="E770" s="13" t="s">
        <v>1707</v>
      </c>
      <c r="F770" s="15">
        <v>2852</v>
      </c>
      <c r="G770" s="21" t="s">
        <v>35</v>
      </c>
      <c r="H770" s="21" t="s">
        <v>36</v>
      </c>
      <c r="I770" s="13" t="s">
        <v>720</v>
      </c>
      <c r="J770" s="13" t="s">
        <v>1505</v>
      </c>
      <c r="K770" s="16">
        <v>45104</v>
      </c>
      <c r="L770" s="17">
        <v>12000000</v>
      </c>
      <c r="M770" s="17">
        <v>12000000</v>
      </c>
      <c r="N770" s="18">
        <f>320000+2400000+2400000</f>
        <v>5120000</v>
      </c>
      <c r="O770" s="22" t="s">
        <v>1708</v>
      </c>
      <c r="Q770" s="13">
        <v>7526</v>
      </c>
      <c r="R770" s="13" t="s">
        <v>1462</v>
      </c>
      <c r="S770" s="13" t="s">
        <v>722</v>
      </c>
      <c r="T770" s="13" t="s">
        <v>16</v>
      </c>
      <c r="U770" s="17">
        <f t="shared" si="26"/>
        <v>6880000</v>
      </c>
    </row>
    <row r="771" spans="1:21" x14ac:dyDescent="0.3">
      <c r="A771" s="13">
        <v>79</v>
      </c>
      <c r="B771" s="13" t="str">
        <f>+VLOOKUP(A771,'[1]PA 2023'!$A$8:$E$84,5)</f>
        <v>Formular e implementar 1 programa de familias fuertes: amor y límite que permita fortalecer a las familias como agente protector ante las conductas de riesgo en los adolescentes.</v>
      </c>
      <c r="C771" s="14">
        <v>2021680010003</v>
      </c>
      <c r="D771" s="14" t="str">
        <f>+VLOOKUP(C771,'[1]PA 2023'!$G$8:$H$84,2,FALSE)</f>
        <v>IMPLEMENTACIÓN DE ESTRATEGIAS PSICOPEDAGÓGICAS PARA LA DISMINUCIÓN DE FACTORES DE RIESGO EN NIÑOS, NIÑAS Y ADOLESCENTES EN EL MUNICIPIO DE BUCARAMANGA</v>
      </c>
      <c r="E771" s="13" t="s">
        <v>1709</v>
      </c>
      <c r="F771" s="15">
        <v>2849</v>
      </c>
      <c r="G771" s="21" t="s">
        <v>43</v>
      </c>
      <c r="H771" s="21" t="s">
        <v>36</v>
      </c>
      <c r="I771" s="13" t="s">
        <v>1085</v>
      </c>
      <c r="J771" s="13" t="s">
        <v>1578</v>
      </c>
      <c r="K771" s="16">
        <v>45104</v>
      </c>
      <c r="L771" s="17">
        <v>14000000</v>
      </c>
      <c r="M771" s="17">
        <v>14000000</v>
      </c>
      <c r="N771" s="18">
        <f>373333.33+2800000+2800000</f>
        <v>5973333.3300000001</v>
      </c>
      <c r="O771" s="22" t="s">
        <v>1710</v>
      </c>
      <c r="Q771" s="13">
        <v>7527</v>
      </c>
      <c r="R771" s="13" t="s">
        <v>1580</v>
      </c>
      <c r="S771" s="13" t="s">
        <v>1087</v>
      </c>
      <c r="T771" s="13" t="s">
        <v>16</v>
      </c>
      <c r="U771" s="17">
        <f t="shared" si="26"/>
        <v>8026666.6699999999</v>
      </c>
    </row>
    <row r="772" spans="1:21" x14ac:dyDescent="0.3">
      <c r="A772" s="13">
        <v>68</v>
      </c>
      <c r="B772" s="13" t="str">
        <f>+VLOOKUP(A772,'[1]PA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772" s="14">
        <v>2022680010056</v>
      </c>
      <c r="D772" s="14" t="str">
        <f>+VLOOKUP(C772,'[1]PA 2023'!$G$8:$H$84,2,FALSE)</f>
        <v>APOYO EN LOS PROCESOS DE ATENCIÓN INTEGRAL DE LOS NIÑOS Y NIÑAS EN EL ESPACIO DE CUIDADO Y ALBERGUE "CASA BÚHO" EN EL MUNICIPIO DE BUCARAMANGA</v>
      </c>
      <c r="E772" s="13" t="s">
        <v>1711</v>
      </c>
      <c r="F772" s="15">
        <v>2844</v>
      </c>
      <c r="G772" s="21" t="s">
        <v>35</v>
      </c>
      <c r="H772" s="21" t="s">
        <v>36</v>
      </c>
      <c r="I772" s="13" t="s">
        <v>866</v>
      </c>
      <c r="J772" s="13" t="s">
        <v>1531</v>
      </c>
      <c r="K772" s="16">
        <v>45104</v>
      </c>
      <c r="L772" s="17">
        <v>11000000</v>
      </c>
      <c r="M772" s="17">
        <v>11000000</v>
      </c>
      <c r="N772" s="18">
        <f>293333.33+2200000+2200000</f>
        <v>4693333.33</v>
      </c>
      <c r="O772" s="22" t="s">
        <v>1712</v>
      </c>
      <c r="Q772" s="13">
        <v>7528</v>
      </c>
      <c r="R772" s="13" t="s">
        <v>1533</v>
      </c>
      <c r="S772" s="13" t="s">
        <v>868</v>
      </c>
      <c r="T772" s="13" t="s">
        <v>16</v>
      </c>
      <c r="U772" s="17">
        <f t="shared" si="26"/>
        <v>6306666.6699999999</v>
      </c>
    </row>
    <row r="773" spans="1:21" x14ac:dyDescent="0.3">
      <c r="A773" s="13">
        <v>94</v>
      </c>
      <c r="B773" s="13" t="str">
        <f>+VLOOKUP(A773,'[1]PA 2023'!$A$8:$E$84,5)</f>
        <v>Mantener el servicio atención primaria en salud, atención psicosocial que promueva la salud física, salud mental y el bienestar social de las personas mayores en los centros vida.</v>
      </c>
      <c r="C773" s="14">
        <v>2020680010040</v>
      </c>
      <c r="D773" s="14" t="str">
        <f>+VLOOKUP(C773,'[1]PA 2023'!$G$8:$H$84,2,FALSE)</f>
        <v>IMPLEMENTACIÓN DE ACCIONES TENDIENTES A MEJORAR LAS CONDICIONES DE LOS ADULTOS MAYORES DEL MUNICIPIO DE BUCARAMANGA</v>
      </c>
      <c r="E773" s="13" t="s">
        <v>659</v>
      </c>
      <c r="F773" s="15">
        <v>2834</v>
      </c>
      <c r="G773" s="21" t="s">
        <v>43</v>
      </c>
      <c r="H773" s="21" t="s">
        <v>36</v>
      </c>
      <c r="I773" s="13" t="s">
        <v>685</v>
      </c>
      <c r="J773" s="13" t="s">
        <v>1554</v>
      </c>
      <c r="K773" s="16">
        <v>45104</v>
      </c>
      <c r="L773" s="17">
        <v>18000000</v>
      </c>
      <c r="M773" s="17">
        <v>18000000</v>
      </c>
      <c r="N773" s="18">
        <f>480000+3600000+3600000</f>
        <v>7680000</v>
      </c>
      <c r="O773" s="22" t="s">
        <v>1713</v>
      </c>
      <c r="Q773" s="13">
        <v>7529</v>
      </c>
      <c r="R773" s="13" t="s">
        <v>1556</v>
      </c>
      <c r="S773" s="13" t="s">
        <v>687</v>
      </c>
      <c r="T773" s="13" t="s">
        <v>16</v>
      </c>
      <c r="U773" s="17">
        <f t="shared" si="26"/>
        <v>10320000</v>
      </c>
    </row>
    <row r="774" spans="1:21" x14ac:dyDescent="0.3">
      <c r="A774" s="13">
        <v>102</v>
      </c>
      <c r="B774" s="13" t="str">
        <f>+VLOOKUP(A774,'[1]PA 2023'!$A$8:$E$84,5)</f>
        <v>Mantener y fortalecer la ruta de atención a víctimas de acoso sexual y violencia de género a través redes comunitarias de prevención en zonas priorizadas del área rural y urbana de la ciudad y consolidación de alianzas con otras entidades.</v>
      </c>
      <c r="C774" s="14">
        <v>2023680010015</v>
      </c>
      <c r="D774" s="14" t="str">
        <f>+VLOOKUP(C774,'[1]PA 2023'!$G$8:$H$84,2,FALSE)</f>
        <v>FORTALECIMIENTO DE ACCIONES ORIENTADAS AL CIERRE DE BRECHAS DE GÉNERO PARA MUJERES Y POBLACIÓN CON ORIENTACIONES SEXUALES E IDENTIDADES DE GÉNERO DIVERSAS DEL MUNICIPIO DE BUCARAMANGA</v>
      </c>
      <c r="E774" s="13" t="s">
        <v>1714</v>
      </c>
      <c r="F774" s="15">
        <v>2835</v>
      </c>
      <c r="G774" s="21" t="s">
        <v>43</v>
      </c>
      <c r="H774" s="21" t="s">
        <v>36</v>
      </c>
      <c r="I774" s="13" t="s">
        <v>397</v>
      </c>
      <c r="J774" s="13" t="s">
        <v>1488</v>
      </c>
      <c r="K774" s="16">
        <v>45104</v>
      </c>
      <c r="L774" s="17">
        <v>17500000</v>
      </c>
      <c r="M774" s="17">
        <v>17500000</v>
      </c>
      <c r="N774" s="18">
        <f>466666.67+3500000+3500000</f>
        <v>7466666.6699999999</v>
      </c>
      <c r="O774" s="22" t="s">
        <v>1715</v>
      </c>
      <c r="Q774" s="13">
        <v>7530</v>
      </c>
      <c r="R774" s="13" t="s">
        <v>1490</v>
      </c>
      <c r="S774" s="13" t="s">
        <v>399</v>
      </c>
      <c r="T774" s="13" t="s">
        <v>16</v>
      </c>
      <c r="U774" s="17">
        <f t="shared" si="26"/>
        <v>10033333.33</v>
      </c>
    </row>
    <row r="775" spans="1:21" x14ac:dyDescent="0.3">
      <c r="A775" s="13">
        <v>101</v>
      </c>
      <c r="B775" s="13" t="str">
        <f>+VLOOKUP(A775,'[1]PA 2023'!$A$8:$E$84,5)</f>
        <v>Atender y mantener de manera integral desde el componente psicosociojurídico y social a 600 mujeres, niñas y personas considerando los enfoques diferenciales y diversidad sexual.</v>
      </c>
      <c r="C775" s="14">
        <v>2023680010015</v>
      </c>
      <c r="D775" s="14" t="str">
        <f>+VLOOKUP(C775,'[1]PA 2023'!$G$8:$H$84,2,FALSE)</f>
        <v>FORTALECIMIENTO DE ACCIONES ORIENTADAS AL CIERRE DE BRECHAS DE GÉNERO PARA MUJERES Y POBLACIÓN CON ORIENTACIONES SEXUALES E IDENTIDADES DE GÉNERO DIVERSAS DEL MUNICIPIO DE BUCARAMANGA</v>
      </c>
      <c r="E775" s="13" t="s">
        <v>1716</v>
      </c>
      <c r="F775" s="15">
        <v>2824</v>
      </c>
      <c r="G775" s="21" t="s">
        <v>43</v>
      </c>
      <c r="H775" s="21" t="s">
        <v>36</v>
      </c>
      <c r="I775" s="13" t="s">
        <v>510</v>
      </c>
      <c r="J775" s="13" t="s">
        <v>1488</v>
      </c>
      <c r="K775" s="16">
        <v>45104</v>
      </c>
      <c r="L775" s="17">
        <v>17500000</v>
      </c>
      <c r="M775" s="17">
        <v>17500000</v>
      </c>
      <c r="N775" s="18">
        <f>466666.67+3500000+3500000</f>
        <v>7466666.6699999999</v>
      </c>
      <c r="O775" s="22" t="s">
        <v>1717</v>
      </c>
      <c r="Q775" s="13">
        <v>7531</v>
      </c>
      <c r="R775" s="13" t="s">
        <v>1490</v>
      </c>
      <c r="S775" s="13" t="s">
        <v>512</v>
      </c>
      <c r="T775" s="13" t="s">
        <v>16</v>
      </c>
      <c r="U775" s="17">
        <f t="shared" si="26"/>
        <v>10033333.33</v>
      </c>
    </row>
    <row r="776" spans="1:21" x14ac:dyDescent="0.3">
      <c r="A776" s="13">
        <v>84</v>
      </c>
      <c r="B776" s="13" t="str">
        <f>+VLOOKUP(A776,'[1]PA 2023'!$A$8:$E$84,5)</f>
        <v>Sistematizar 4 buenas prácticas que aporten al desarrollo de las realizaciones establecidas para los niños, niñas y adolescentes en el marco del proceso de rendición pública de cuentas.</v>
      </c>
      <c r="C776" s="14">
        <v>2021680010003</v>
      </c>
      <c r="D776" s="14" t="str">
        <f>+VLOOKUP(C776,'[1]PA 2023'!$G$8:$H$84,2,FALSE)</f>
        <v>IMPLEMENTACIÓN DE ESTRATEGIAS PSICOPEDAGÓGICAS PARA LA DISMINUCIÓN DE FACTORES DE RIESGO EN NIÑOS, NIÑAS Y ADOLESCENTES EN EL MUNICIPIO DE BUCARAMANGA</v>
      </c>
      <c r="E776" s="13" t="s">
        <v>1675</v>
      </c>
      <c r="F776" s="15">
        <v>2785</v>
      </c>
      <c r="G776" s="21" t="s">
        <v>43</v>
      </c>
      <c r="H776" s="21" t="s">
        <v>36</v>
      </c>
      <c r="I776" s="13" t="s">
        <v>1004</v>
      </c>
      <c r="J776" s="13" t="s">
        <v>1578</v>
      </c>
      <c r="K776" s="16">
        <v>45104</v>
      </c>
      <c r="L776" s="17">
        <v>19600000</v>
      </c>
      <c r="M776" s="17">
        <v>19600000</v>
      </c>
      <c r="N776" s="18">
        <f>522666.67+3920000+3920000</f>
        <v>8362666.6699999999</v>
      </c>
      <c r="O776" s="22" t="s">
        <v>1718</v>
      </c>
      <c r="Q776" s="13">
        <v>7551</v>
      </c>
      <c r="R776" s="13" t="s">
        <v>1580</v>
      </c>
      <c r="S776" s="13" t="s">
        <v>1006</v>
      </c>
      <c r="T776" s="13" t="s">
        <v>16</v>
      </c>
      <c r="U776" s="17">
        <f t="shared" si="26"/>
        <v>11237333.33</v>
      </c>
    </row>
    <row r="777" spans="1:21" x14ac:dyDescent="0.3">
      <c r="A777" s="13">
        <v>83</v>
      </c>
      <c r="B777" s="13" t="str">
        <f>+VLOOKUP(A777,'[1]PA 2023'!$A$8:$E$84,5)</f>
        <v>Implementar y mantener 1 proceso de liderazgo b-learning orientada al fortalecimiento de la participación de niños, niñas, adolescentes y jóvenes.</v>
      </c>
      <c r="C777" s="14">
        <v>2021680010003</v>
      </c>
      <c r="D777" s="14" t="str">
        <f>+VLOOKUP(C777,'[1]PA 2023'!$G$8:$H$84,2,FALSE)</f>
        <v>IMPLEMENTACIÓN DE ESTRATEGIAS PSICOPEDAGÓGICAS PARA LA DISMINUCIÓN DE FACTORES DE RIESGO EN NIÑOS, NIÑAS Y ADOLESCENTES EN EL MUNICIPIO DE BUCARAMANGA</v>
      </c>
      <c r="E777" s="13" t="s">
        <v>1719</v>
      </c>
      <c r="F777" s="15">
        <v>2857</v>
      </c>
      <c r="G777" s="21" t="s">
        <v>43</v>
      </c>
      <c r="H777" s="21" t="s">
        <v>36</v>
      </c>
      <c r="I777" s="13" t="s">
        <v>875</v>
      </c>
      <c r="J777" s="13" t="s">
        <v>1578</v>
      </c>
      <c r="K777" s="16">
        <v>45104</v>
      </c>
      <c r="L777" s="17">
        <v>17500000</v>
      </c>
      <c r="M777" s="17">
        <v>17500000</v>
      </c>
      <c r="N777" s="18">
        <f>350000+3500000+3500000</f>
        <v>7350000</v>
      </c>
      <c r="O777" s="22" t="s">
        <v>1720</v>
      </c>
      <c r="Q777" s="13">
        <v>7552</v>
      </c>
      <c r="R777" s="13" t="s">
        <v>1580</v>
      </c>
      <c r="S777" s="13" t="s">
        <v>877</v>
      </c>
      <c r="T777" s="13" t="s">
        <v>16</v>
      </c>
      <c r="U777" s="17">
        <f t="shared" si="26"/>
        <v>10150000</v>
      </c>
    </row>
    <row r="778" spans="1:21" x14ac:dyDescent="0.3">
      <c r="A778" s="13">
        <v>285</v>
      </c>
      <c r="B778" s="13" t="str">
        <f>+VLOOKUP(A778,'[1]PA 2023'!$A$8:$E$84,5)</f>
        <v>Mantener en funcionamiento el 100% de los salones comunales que hacen parte del programa Ágoras.</v>
      </c>
      <c r="C778" s="14">
        <v>2022680010029</v>
      </c>
      <c r="D778" s="14" t="str">
        <f>+VLOOKUP(C778,'[1]PA 2023'!$G$8:$H$84,2,FALSE)</f>
        <v>FORTALECIMIENTO DE LA PARTICIPACIÓN CIUDADANA EN EL MUNICIPIO DE BUCARAMANGA</v>
      </c>
      <c r="E778" s="13" t="s">
        <v>1681</v>
      </c>
      <c r="F778" s="15">
        <v>2810</v>
      </c>
      <c r="G778" s="21" t="s">
        <v>35</v>
      </c>
      <c r="H778" s="21" t="s">
        <v>36</v>
      </c>
      <c r="I778" s="13" t="s">
        <v>760</v>
      </c>
      <c r="J778" s="13" t="s">
        <v>1505</v>
      </c>
      <c r="K778" s="16">
        <v>45104</v>
      </c>
      <c r="L778" s="17">
        <v>9000000</v>
      </c>
      <c r="M778" s="17">
        <v>9000000</v>
      </c>
      <c r="N778" s="18">
        <f>240000+1800000+1800000</f>
        <v>3840000</v>
      </c>
      <c r="O778" s="22" t="s">
        <v>1721</v>
      </c>
      <c r="Q778" s="13">
        <v>7553</v>
      </c>
      <c r="R778" s="13" t="s">
        <v>1462</v>
      </c>
      <c r="S778" s="13" t="s">
        <v>762</v>
      </c>
      <c r="T778" s="13" t="s">
        <v>16</v>
      </c>
      <c r="U778" s="17">
        <f t="shared" si="26"/>
        <v>5160000</v>
      </c>
    </row>
    <row r="779" spans="1:21" x14ac:dyDescent="0.3">
      <c r="A779" s="13">
        <v>93</v>
      </c>
      <c r="B779" s="13" t="str">
        <f>+VLOOKUP(A779,'[1]PA 2023'!$A$8:$E$84,5)</f>
        <v>Mantener en funcionamiento los 3 Centros Vida con la prestacion de servicios integrales y/o dotacion de los mismos cumpliendo con la oferta institucional.</v>
      </c>
      <c r="C779" s="14">
        <v>2020680010040</v>
      </c>
      <c r="D779" s="14" t="str">
        <f>+VLOOKUP(C779,'[1]PA 2023'!$G$8:$H$84,2,FALSE)</f>
        <v>IMPLEMENTACIÓN DE ACCIONES TENDIENTES A MEJORAR LAS CONDICIONES DE LOS ADULTOS MAYORES DEL MUNICIPIO DE BUCARAMANGA</v>
      </c>
      <c r="E779" s="13" t="s">
        <v>858</v>
      </c>
      <c r="F779" s="15">
        <v>2850</v>
      </c>
      <c r="G779" s="21" t="s">
        <v>35</v>
      </c>
      <c r="H779" s="21" t="s">
        <v>36</v>
      </c>
      <c r="I779" s="13" t="s">
        <v>859</v>
      </c>
      <c r="J779" s="13" t="s">
        <v>574</v>
      </c>
      <c r="K779" s="16">
        <v>45104</v>
      </c>
      <c r="L779" s="17">
        <v>15000000</v>
      </c>
      <c r="M779" s="17">
        <v>15000000</v>
      </c>
      <c r="N779" s="18">
        <f>400000+3000000+3000000</f>
        <v>6400000</v>
      </c>
      <c r="O779" s="22" t="s">
        <v>1722</v>
      </c>
      <c r="Q779" s="13">
        <v>7554</v>
      </c>
      <c r="R779" s="13" t="s">
        <v>26</v>
      </c>
      <c r="S779" s="13" t="s">
        <v>861</v>
      </c>
      <c r="T779" s="13" t="s">
        <v>16</v>
      </c>
      <c r="U779" s="17">
        <f t="shared" si="26"/>
        <v>8600000</v>
      </c>
    </row>
    <row r="780" spans="1:21" x14ac:dyDescent="0.3">
      <c r="A780" s="13">
        <v>102</v>
      </c>
      <c r="B780" s="13" t="str">
        <f>+VLOOKUP(A780,'[1]PA 2023'!$A$8:$E$84,5)</f>
        <v>Mantener y fortalecer la ruta de atención a víctimas de acoso sexual y violencia de género a través redes comunitarias de prevención en zonas priorizadas del área rural y urbana de la ciudad y consolidación de alianzas con otras entidades.</v>
      </c>
      <c r="C780" s="14">
        <v>2023680010015</v>
      </c>
      <c r="D780" s="14" t="str">
        <f>+VLOOKUP(C780,'[1]PA 2023'!$G$8:$H$84,2,FALSE)</f>
        <v>FORTALECIMIENTO DE ACCIONES ORIENTADAS AL CIERRE DE BRECHAS DE GÉNERO PARA MUJERES Y POBLACIÓN CON ORIENTACIONES SEXUALES E IDENTIDADES DE GÉNERO DIVERSAS DEL MUNICIPIO DE BUCARAMANGA</v>
      </c>
      <c r="E780" s="13" t="s">
        <v>1723</v>
      </c>
      <c r="F780" s="15">
        <v>2840</v>
      </c>
      <c r="G780" s="21" t="s">
        <v>43</v>
      </c>
      <c r="H780" s="21" t="s">
        <v>36</v>
      </c>
      <c r="I780" s="13" t="s">
        <v>1262</v>
      </c>
      <c r="J780" s="13" t="s">
        <v>1488</v>
      </c>
      <c r="K780" s="16">
        <v>45104</v>
      </c>
      <c r="L780" s="17">
        <v>16500000</v>
      </c>
      <c r="M780" s="17">
        <v>16500000</v>
      </c>
      <c r="N780" s="18">
        <f>440000+3300000+3300000</f>
        <v>7040000</v>
      </c>
      <c r="O780" s="22" t="s">
        <v>1724</v>
      </c>
      <c r="Q780" s="13">
        <v>7555</v>
      </c>
      <c r="R780" s="13" t="s">
        <v>1490</v>
      </c>
      <c r="S780" s="13" t="s">
        <v>1264</v>
      </c>
      <c r="T780" s="13" t="s">
        <v>16</v>
      </c>
      <c r="U780" s="17">
        <f t="shared" si="26"/>
        <v>9460000</v>
      </c>
    </row>
    <row r="781" spans="1:21" x14ac:dyDescent="0.3">
      <c r="A781" s="13">
        <v>81</v>
      </c>
      <c r="B781" s="13" t="str">
        <f>+VLOOKUP(A781,'[1]PA 2023'!$A$8:$E$84,5)</f>
        <v>Desarrollar 3 jornadas de uso creativo del tiempo y emprendimiento que potencien sus competencias y motiven continuar en diferentes niveles de educación superior.</v>
      </c>
      <c r="C781" s="14">
        <v>2021680010003</v>
      </c>
      <c r="D781" s="14" t="str">
        <f>+VLOOKUP(C781,'[1]PA 2023'!$G$8:$H$84,2,FALSE)</f>
        <v>IMPLEMENTACIÓN DE ESTRATEGIAS PSICOPEDAGÓGICAS PARA LA DISMINUCIÓN DE FACTORES DE RIESGO EN NIÑOS, NIÑAS Y ADOLESCENTES EN EL MUNICIPIO DE BUCARAMANGA</v>
      </c>
      <c r="E781" s="13" t="s">
        <v>1725</v>
      </c>
      <c r="F781" s="15">
        <v>2859</v>
      </c>
      <c r="G781" s="21" t="s">
        <v>35</v>
      </c>
      <c r="H781" s="21" t="s">
        <v>36</v>
      </c>
      <c r="I781" s="13" t="s">
        <v>263</v>
      </c>
      <c r="J781" s="13" t="s">
        <v>1578</v>
      </c>
      <c r="K781" s="16">
        <v>45104</v>
      </c>
      <c r="L781" s="17">
        <v>15000000</v>
      </c>
      <c r="M781" s="17">
        <v>15000000</v>
      </c>
      <c r="N781" s="18">
        <f>300000+3000000+3000000</f>
        <v>6300000</v>
      </c>
      <c r="O781" s="22" t="s">
        <v>1726</v>
      </c>
      <c r="Q781" s="13">
        <v>7556</v>
      </c>
      <c r="R781" s="13" t="s">
        <v>1580</v>
      </c>
      <c r="S781" s="13" t="s">
        <v>265</v>
      </c>
      <c r="T781" s="13" t="s">
        <v>16</v>
      </c>
      <c r="U781" s="17">
        <f t="shared" si="26"/>
        <v>8700000</v>
      </c>
    </row>
    <row r="782" spans="1:21" x14ac:dyDescent="0.3">
      <c r="A782" s="13">
        <v>207</v>
      </c>
      <c r="B782" s="13" t="str">
        <f>+VLOOKUP(A782,'[1]PA 2023'!$A$8:$E$84,5)</f>
        <v>Desarrollar procesos agroindustriales con 20 unidades productivas del sector rural.</v>
      </c>
      <c r="C782" s="14">
        <v>2020680010123</v>
      </c>
      <c r="D782" s="14" t="str">
        <f>+VLOOKUP(C782,'[1]PA 2023'!$G$8:$H$84,2,FALSE)</f>
        <v>FORTALECIMIENTO DE LA PRODUCTIVIDAD Y COMPETITIVIDAD AGROPECUARIA EN EL SECTOR RURAL DEL MUNICIPIO DE BUCARAMANGA</v>
      </c>
      <c r="E782" s="13" t="s">
        <v>1727</v>
      </c>
      <c r="F782" s="15">
        <v>2837</v>
      </c>
      <c r="G782" s="21" t="s">
        <v>43</v>
      </c>
      <c r="H782" s="21" t="s">
        <v>36</v>
      </c>
      <c r="I782" s="13" t="s">
        <v>664</v>
      </c>
      <c r="J782" s="13" t="s">
        <v>665</v>
      </c>
      <c r="K782" s="16">
        <v>45104</v>
      </c>
      <c r="L782" s="17">
        <v>15000000</v>
      </c>
      <c r="M782" s="17">
        <v>15000000</v>
      </c>
      <c r="N782" s="18">
        <f>333333.33+2500000+2500000</f>
        <v>5333333.33</v>
      </c>
      <c r="O782" s="22" t="s">
        <v>1728</v>
      </c>
      <c r="Q782" s="13">
        <v>7563</v>
      </c>
      <c r="R782" s="13" t="s">
        <v>667</v>
      </c>
      <c r="S782" s="13" t="s">
        <v>668</v>
      </c>
      <c r="T782" s="13" t="s">
        <v>16</v>
      </c>
      <c r="U782" s="17">
        <f t="shared" si="26"/>
        <v>9666666.6699999999</v>
      </c>
    </row>
    <row r="783" spans="1:21" x14ac:dyDescent="0.3">
      <c r="A783" s="13">
        <v>117</v>
      </c>
      <c r="B783" s="13" t="str">
        <f>+VLOOKUP(A783,'[1]PA 2023'!$A$8:$E$84,5)</f>
        <v>Formular e implementar 1 estrategia de orientación ocupacional, aprovechamiento del tiempo libre, formación y esparcimiento cultural y actividades que mejoren la calidad de vida dirigidas a personas con discapacidad.</v>
      </c>
      <c r="C783" s="14">
        <v>2020680010121</v>
      </c>
      <c r="D783" s="14" t="str">
        <f>+VLOOKUP(C783,'[1]PA 2023'!$G$8:$H$84,2,FALSE)</f>
        <v>APOYO A LA OPERATIVIDAD DE LOS PROGRAMAS DE ATENCIÓN INTEGRAL A LAS PERSONAS CON DISCAPACIDAD. FAMILIARES Y/O CUIDADORES DEL MUNICIPIO DE BUCARAMANGA</v>
      </c>
      <c r="E783" s="13" t="s">
        <v>1729</v>
      </c>
      <c r="F783" s="15">
        <v>2867</v>
      </c>
      <c r="G783" s="21" t="s">
        <v>43</v>
      </c>
      <c r="H783" s="21" t="s">
        <v>36</v>
      </c>
      <c r="I783" s="13" t="s">
        <v>1138</v>
      </c>
      <c r="J783" s="13" t="s">
        <v>1624</v>
      </c>
      <c r="K783" s="16">
        <v>45104</v>
      </c>
      <c r="L783" s="17">
        <v>16950000</v>
      </c>
      <c r="M783" s="17">
        <v>16950000</v>
      </c>
      <c r="N783" s="18">
        <f>3500000+3500000</f>
        <v>7000000</v>
      </c>
      <c r="O783" s="22" t="s">
        <v>1730</v>
      </c>
      <c r="Q783" s="13">
        <v>7564</v>
      </c>
      <c r="R783" s="23" t="s">
        <v>1626</v>
      </c>
      <c r="S783" s="13" t="s">
        <v>1140</v>
      </c>
      <c r="T783" s="13" t="s">
        <v>16</v>
      </c>
      <c r="U783" s="17">
        <f t="shared" si="26"/>
        <v>9950000</v>
      </c>
    </row>
    <row r="784" spans="1:21" x14ac:dyDescent="0.3">
      <c r="A784" s="13">
        <v>117</v>
      </c>
      <c r="B784" s="13" t="str">
        <f>+VLOOKUP(A784,'[1]PA 2023'!$A$8:$E$84,5)</f>
        <v>Formular e implementar 1 estrategia de orientación ocupacional, aprovechamiento del tiempo libre, formación y esparcimiento cultural y actividades que mejoren la calidad de vida dirigidas a personas con discapacidad.</v>
      </c>
      <c r="C784" s="14">
        <v>2020680010121</v>
      </c>
      <c r="D784" s="14" t="str">
        <f>+VLOOKUP(C784,'[1]PA 2023'!$G$8:$H$84,2,FALSE)</f>
        <v>APOYO A LA OPERATIVIDAD DE LOS PROGRAMAS DE ATENCIÓN INTEGRAL A LAS PERSONAS CON DISCAPACIDAD. FAMILIARES Y/O CUIDADORES DEL MUNICIPIO DE BUCARAMANGA</v>
      </c>
      <c r="E784" s="13" t="s">
        <v>1729</v>
      </c>
      <c r="F784" s="15">
        <v>2867</v>
      </c>
      <c r="G784" s="21" t="s">
        <v>43</v>
      </c>
      <c r="H784" s="21" t="s">
        <v>36</v>
      </c>
      <c r="I784" s="13" t="s">
        <v>1138</v>
      </c>
      <c r="J784" s="13" t="s">
        <v>191</v>
      </c>
      <c r="K784" s="16">
        <v>45104</v>
      </c>
      <c r="L784" s="17">
        <v>550000</v>
      </c>
      <c r="M784" s="17">
        <v>550000</v>
      </c>
      <c r="N784" s="18">
        <v>350000</v>
      </c>
      <c r="O784" s="22" t="s">
        <v>1730</v>
      </c>
      <c r="Q784" s="13">
        <v>7564</v>
      </c>
      <c r="R784" s="23" t="s">
        <v>193</v>
      </c>
      <c r="S784" s="13" t="s">
        <v>1140</v>
      </c>
      <c r="T784" s="13" t="s">
        <v>16</v>
      </c>
      <c r="U784" s="17">
        <f t="shared" si="26"/>
        <v>200000</v>
      </c>
    </row>
    <row r="785" spans="1:21" x14ac:dyDescent="0.3">
      <c r="A785" s="13">
        <v>74</v>
      </c>
      <c r="B785" s="13" t="str">
        <f>+VLOOKUP(A785,'[1]PA 2023'!$A$8:$E$84,5)</f>
        <v>Formular e implementar 1 estrategia para el fomento de prácticas de autoprotección y cuidado en niños y niñas para la prevención de conductas de riesgo (consumo de SPA, acciones delictivas, abandono familiar y escolar).</v>
      </c>
      <c r="C785" s="14">
        <v>2021680010003</v>
      </c>
      <c r="D785" s="14" t="str">
        <f>+VLOOKUP(C785,'[1]PA 2023'!$G$8:$H$84,2,FALSE)</f>
        <v>IMPLEMENTACIÓN DE ESTRATEGIAS PSICOPEDAGÓGICAS PARA LA DISMINUCIÓN DE FACTORES DE RIESGO EN NIÑOS, NIÑAS Y ADOLESCENTES EN EL MUNICIPIO DE BUCARAMANGA</v>
      </c>
      <c r="E785" s="13" t="s">
        <v>1731</v>
      </c>
      <c r="F785" s="15">
        <v>2893</v>
      </c>
      <c r="G785" s="21" t="s">
        <v>43</v>
      </c>
      <c r="H785" s="21" t="s">
        <v>36</v>
      </c>
      <c r="I785" s="13" t="s">
        <v>343</v>
      </c>
      <c r="J785" s="13" t="s">
        <v>1578</v>
      </c>
      <c r="K785" s="16">
        <v>45104</v>
      </c>
      <c r="L785" s="17">
        <v>17500000</v>
      </c>
      <c r="M785" s="17">
        <v>17500000</v>
      </c>
      <c r="N785" s="18">
        <f>350000+3500000+3500000</f>
        <v>7350000</v>
      </c>
      <c r="O785" s="22" t="s">
        <v>1732</v>
      </c>
      <c r="Q785" s="13">
        <v>7576</v>
      </c>
      <c r="R785" s="13" t="s">
        <v>1580</v>
      </c>
      <c r="S785" s="13" t="s">
        <v>345</v>
      </c>
      <c r="T785" s="13" t="s">
        <v>16</v>
      </c>
      <c r="U785" s="17">
        <f t="shared" si="26"/>
        <v>10150000</v>
      </c>
    </row>
    <row r="786" spans="1:21" x14ac:dyDescent="0.3">
      <c r="A786" s="13">
        <v>285</v>
      </c>
      <c r="B786" s="13" t="str">
        <f>+VLOOKUP(A786,'[1]PA 2023'!$A$8:$E$84,5)</f>
        <v>Mantener en funcionamiento el 100% de los salones comunales que hacen parte del programa Ágoras.</v>
      </c>
      <c r="C786" s="14">
        <v>2022680010029</v>
      </c>
      <c r="D786" s="14" t="str">
        <f>+VLOOKUP(C786,'[1]PA 2023'!$G$8:$H$84,2,FALSE)</f>
        <v>FORTALECIMIENTO DE LA PARTICIPACIÓN CIUDADANA EN EL MUNICIPIO DE BUCARAMANGA</v>
      </c>
      <c r="E786" s="13" t="s">
        <v>681</v>
      </c>
      <c r="F786" s="15">
        <v>2916</v>
      </c>
      <c r="G786" s="21" t="s">
        <v>35</v>
      </c>
      <c r="H786" s="21" t="s">
        <v>36</v>
      </c>
      <c r="I786" s="13" t="s">
        <v>813</v>
      </c>
      <c r="J786" s="13" t="s">
        <v>1505</v>
      </c>
      <c r="K786" s="16">
        <v>45104</v>
      </c>
      <c r="L786" s="17">
        <v>9000000</v>
      </c>
      <c r="M786" s="17">
        <v>9000000</v>
      </c>
      <c r="N786" s="18">
        <f>180000+1800000+1800000</f>
        <v>3780000</v>
      </c>
      <c r="O786" s="22" t="s">
        <v>1733</v>
      </c>
      <c r="Q786" s="13">
        <v>7582</v>
      </c>
      <c r="R786" s="13" t="s">
        <v>1462</v>
      </c>
      <c r="S786" s="13" t="s">
        <v>815</v>
      </c>
      <c r="T786" s="13" t="s">
        <v>16</v>
      </c>
      <c r="U786" s="17">
        <f t="shared" si="26"/>
        <v>5220000</v>
      </c>
    </row>
    <row r="787" spans="1:21" x14ac:dyDescent="0.3">
      <c r="A787" s="13">
        <v>283</v>
      </c>
      <c r="B787" s="13" t="str">
        <f>+VLOOKUP(A787,'[1]PA 2023'!$A$8:$E$84,5)</f>
        <v>Formular e implementar 1 estrategia que fortalezca la democracia participativa (Ley 1757 de 2015).</v>
      </c>
      <c r="C787" s="14">
        <v>2022680010029</v>
      </c>
      <c r="D787" s="14" t="str">
        <f>+VLOOKUP(C787,'[1]PA 2023'!$G$8:$H$84,2,FALSE)</f>
        <v>FORTALECIMIENTO DE LA PARTICIPACIÓN CIUDADANA EN EL MUNICIPIO DE BUCARAMANGA</v>
      </c>
      <c r="E787" s="13" t="s">
        <v>1734</v>
      </c>
      <c r="F787" s="15">
        <v>2900</v>
      </c>
      <c r="G787" s="21" t="s">
        <v>43</v>
      </c>
      <c r="H787" s="21" t="s">
        <v>36</v>
      </c>
      <c r="I787" s="13" t="s">
        <v>1007</v>
      </c>
      <c r="J787" s="13" t="s">
        <v>1505</v>
      </c>
      <c r="K787" s="16">
        <v>45104</v>
      </c>
      <c r="L787" s="17">
        <v>20000000</v>
      </c>
      <c r="M787" s="17">
        <v>20000000</v>
      </c>
      <c r="N787" s="18">
        <f>400000+4000000+4000000</f>
        <v>8400000</v>
      </c>
      <c r="O787" s="22" t="s">
        <v>1735</v>
      </c>
      <c r="Q787" s="13">
        <v>7583</v>
      </c>
      <c r="R787" s="13" t="s">
        <v>1462</v>
      </c>
      <c r="S787" s="13" t="s">
        <v>1009</v>
      </c>
      <c r="T787" s="13" t="s">
        <v>16</v>
      </c>
      <c r="U787" s="17">
        <f t="shared" si="26"/>
        <v>11600000</v>
      </c>
    </row>
    <row r="788" spans="1:21" x14ac:dyDescent="0.3">
      <c r="A788" s="13">
        <v>285</v>
      </c>
      <c r="B788" s="13" t="str">
        <f>+VLOOKUP(A788,'[1]PA 2023'!$A$8:$E$84,5)</f>
        <v>Mantener en funcionamiento el 100% de los salones comunales que hacen parte del programa Ágoras.</v>
      </c>
      <c r="C788" s="14">
        <v>2022680010029</v>
      </c>
      <c r="D788" s="14" t="str">
        <f>+VLOOKUP(C788,'[1]PA 2023'!$G$8:$H$84,2,FALSE)</f>
        <v>FORTALECIMIENTO DE LA PARTICIPACIÓN CIUDADANA EN EL MUNICIPIO DE BUCARAMANGA</v>
      </c>
      <c r="E788" s="13" t="s">
        <v>809</v>
      </c>
      <c r="F788" s="15">
        <v>2911</v>
      </c>
      <c r="G788" s="21" t="s">
        <v>35</v>
      </c>
      <c r="H788" s="21" t="s">
        <v>36</v>
      </c>
      <c r="I788" s="13" t="s">
        <v>810</v>
      </c>
      <c r="J788" s="13" t="s">
        <v>1505</v>
      </c>
      <c r="K788" s="16">
        <v>45104</v>
      </c>
      <c r="L788" s="17">
        <v>9000000</v>
      </c>
      <c r="M788" s="17">
        <v>9000000</v>
      </c>
      <c r="N788" s="18">
        <f>180000+1800000+1800000</f>
        <v>3780000</v>
      </c>
      <c r="O788" s="22" t="s">
        <v>1736</v>
      </c>
      <c r="Q788" s="13">
        <v>7584</v>
      </c>
      <c r="R788" s="13" t="s">
        <v>1462</v>
      </c>
      <c r="S788" s="13" t="s">
        <v>812</v>
      </c>
      <c r="T788" s="13" t="s">
        <v>16</v>
      </c>
      <c r="U788" s="17">
        <f t="shared" si="26"/>
        <v>5220000</v>
      </c>
    </row>
    <row r="789" spans="1:21" x14ac:dyDescent="0.3">
      <c r="A789" s="13">
        <v>285</v>
      </c>
      <c r="B789" s="13" t="str">
        <f>+VLOOKUP(A789,'[1]PA 2023'!$A$8:$E$84,5)</f>
        <v>Mantener en funcionamiento el 100% de los salones comunales que hacen parte del programa Ágoras.</v>
      </c>
      <c r="C789" s="14">
        <v>2022680010029</v>
      </c>
      <c r="D789" s="14" t="str">
        <f>+VLOOKUP(C789,'[1]PA 2023'!$G$8:$H$84,2,FALSE)</f>
        <v>FORTALECIMIENTO DE LA PARTICIPACIÓN CIUDADANA EN EL MUNICIPIO DE BUCARAMANGA</v>
      </c>
      <c r="E789" s="13" t="s">
        <v>1681</v>
      </c>
      <c r="F789" s="15">
        <v>2906</v>
      </c>
      <c r="G789" s="21" t="s">
        <v>35</v>
      </c>
      <c r="H789" s="21" t="s">
        <v>36</v>
      </c>
      <c r="I789" s="13" t="s">
        <v>757</v>
      </c>
      <c r="J789" s="13" t="s">
        <v>1505</v>
      </c>
      <c r="K789" s="16">
        <v>45104</v>
      </c>
      <c r="L789" s="17">
        <v>9000000</v>
      </c>
      <c r="M789" s="17">
        <v>9000000</v>
      </c>
      <c r="N789" s="18">
        <f>180000+1800000+1800000</f>
        <v>3780000</v>
      </c>
      <c r="O789" s="22" t="s">
        <v>1737</v>
      </c>
      <c r="Q789" s="13">
        <v>7585</v>
      </c>
      <c r="R789" s="13" t="s">
        <v>1462</v>
      </c>
      <c r="S789" s="13" t="s">
        <v>759</v>
      </c>
      <c r="T789" s="13" t="s">
        <v>16</v>
      </c>
      <c r="U789" s="17">
        <f t="shared" si="26"/>
        <v>5220000</v>
      </c>
    </row>
    <row r="790" spans="1:21" x14ac:dyDescent="0.3">
      <c r="A790" s="13">
        <v>96</v>
      </c>
      <c r="B790" s="13" t="str">
        <f>+VLOOKUP(A790,'[1]PA 2023'!$A$8:$E$84,5)</f>
        <v>Formular e implementar 1 estrategia que promueva la democratización familiar apoyada en el componente de bienestar comunitario del programa Familias en Acción con impacto en barrios priorizados por NBI.</v>
      </c>
      <c r="C790" s="14">
        <v>2020680010072</v>
      </c>
      <c r="D790" s="14" t="str">
        <f>+VLOOKUP(C790,'[1]PA 2023'!$G$8:$H$84,2,FALSE)</f>
        <v>APOYO A LA OPERATIVIDAD DEL PROGRAMA NACIONAL MÁS FAMILIAS EN ACCIÓN EN EL MUNICIPIO DE BUCARAMANGA</v>
      </c>
      <c r="E790" s="13" t="s">
        <v>1738</v>
      </c>
      <c r="F790" s="15">
        <v>2904</v>
      </c>
      <c r="G790" s="21" t="s">
        <v>43</v>
      </c>
      <c r="H790" s="21" t="s">
        <v>36</v>
      </c>
      <c r="I790" s="13" t="s">
        <v>925</v>
      </c>
      <c r="J790" s="13" t="s">
        <v>1466</v>
      </c>
      <c r="K790" s="16">
        <v>45104</v>
      </c>
      <c r="L790" s="17">
        <v>16500000</v>
      </c>
      <c r="M790" s="17">
        <v>16500000</v>
      </c>
      <c r="N790" s="18">
        <f>300000+3000000+3000000</f>
        <v>6300000</v>
      </c>
      <c r="O790" s="22" t="s">
        <v>1739</v>
      </c>
      <c r="Q790" s="13">
        <v>7586</v>
      </c>
      <c r="R790" s="13" t="s">
        <v>1468</v>
      </c>
      <c r="S790" s="13" t="s">
        <v>927</v>
      </c>
      <c r="T790" s="13" t="s">
        <v>16</v>
      </c>
      <c r="U790" s="17">
        <f t="shared" si="26"/>
        <v>10200000</v>
      </c>
    </row>
    <row r="791" spans="1:21" x14ac:dyDescent="0.3">
      <c r="A791" s="13">
        <v>285</v>
      </c>
      <c r="B791" s="13" t="str">
        <f>+VLOOKUP(A791,'[1]PA 2023'!$A$8:$E$84,5)</f>
        <v>Mantener en funcionamiento el 100% de los salones comunales que hacen parte del programa Ágoras.</v>
      </c>
      <c r="C791" s="14">
        <v>2022680010029</v>
      </c>
      <c r="D791" s="14" t="str">
        <f>+VLOOKUP(C791,'[1]PA 2023'!$G$8:$H$84,2,FALSE)</f>
        <v>FORTALECIMIENTO DE LA PARTICIPACIÓN CIUDADANA EN EL MUNICIPIO DE BUCARAMANGA</v>
      </c>
      <c r="E791" s="13" t="s">
        <v>1681</v>
      </c>
      <c r="F791" s="15">
        <v>2899</v>
      </c>
      <c r="G791" s="21" t="s">
        <v>35</v>
      </c>
      <c r="H791" s="21" t="s">
        <v>36</v>
      </c>
      <c r="I791" s="13" t="s">
        <v>779</v>
      </c>
      <c r="J791" s="13" t="s">
        <v>1505</v>
      </c>
      <c r="K791" s="16">
        <v>45104</v>
      </c>
      <c r="L791" s="17">
        <v>9000000</v>
      </c>
      <c r="M791" s="17">
        <v>9000000</v>
      </c>
      <c r="N791" s="18">
        <f>180000+1800000+1800000</f>
        <v>3780000</v>
      </c>
      <c r="O791" s="22" t="s">
        <v>1740</v>
      </c>
      <c r="Q791" s="13">
        <v>7588</v>
      </c>
      <c r="R791" s="13" t="s">
        <v>1462</v>
      </c>
      <c r="S791" s="13" t="s">
        <v>781</v>
      </c>
      <c r="T791" s="13" t="s">
        <v>16</v>
      </c>
      <c r="U791" s="17">
        <f t="shared" si="26"/>
        <v>5220000</v>
      </c>
    </row>
    <row r="792" spans="1:21" x14ac:dyDescent="0.3">
      <c r="A792" s="13">
        <v>300</v>
      </c>
      <c r="B792" s="13" t="str">
        <f>+VLOOKUP(A792,'[1]PA 2023'!$A$8:$E$84,5)</f>
        <v>Mantener el 100% de los programas que desarrolla la Administración Central.</v>
      </c>
      <c r="C792" s="14">
        <v>2023680010016</v>
      </c>
      <c r="D792" s="14" t="str">
        <f>+VLOOKUP(C792,'[1]PA 2023'!$G$8:$H$84,2,FALSE)</f>
        <v>APOYO A LA GESTIÓN ADMINISTRATIVA Y PROCESOS TRANSVERSALES DE LA SECRETARIA DE DESARROLLO SOCIAL DEL MUNICIPIO DE BUCARAMANGA</v>
      </c>
      <c r="E792" s="13" t="s">
        <v>1741</v>
      </c>
      <c r="F792" s="15">
        <v>2895</v>
      </c>
      <c r="G792" s="21" t="s">
        <v>35</v>
      </c>
      <c r="H792" s="21" t="s">
        <v>36</v>
      </c>
      <c r="I792" s="13" t="s">
        <v>1292</v>
      </c>
      <c r="J792" s="13" t="s">
        <v>1388</v>
      </c>
      <c r="K792" s="16">
        <v>45104</v>
      </c>
      <c r="L792" s="17">
        <v>11000000</v>
      </c>
      <c r="M792" s="17">
        <v>11000000</v>
      </c>
      <c r="N792" s="18">
        <f>200000+2000000+2000000</f>
        <v>4200000</v>
      </c>
      <c r="O792" s="22" t="s">
        <v>1742</v>
      </c>
      <c r="Q792" s="13">
        <v>7589</v>
      </c>
      <c r="R792" s="13" t="s">
        <v>1390</v>
      </c>
      <c r="S792" s="13" t="s">
        <v>1294</v>
      </c>
      <c r="T792" s="13" t="s">
        <v>16</v>
      </c>
      <c r="U792" s="17">
        <f t="shared" si="26"/>
        <v>6800000</v>
      </c>
    </row>
    <row r="793" spans="1:21" x14ac:dyDescent="0.3">
      <c r="A793" s="13">
        <v>98</v>
      </c>
      <c r="B793" s="13" t="str">
        <f>+VLOOKUP(A793,'[1]PA 2023'!$A$8:$E$84,5)</f>
        <v>Mantener el 100% del apoyo logístico a las familias beneficiadas del programa Familias en Acción.</v>
      </c>
      <c r="C793" s="14">
        <v>2020680010072</v>
      </c>
      <c r="D793" s="14" t="str">
        <f>+VLOOKUP(C793,'[1]PA 2023'!$G$8:$H$84,2,FALSE)</f>
        <v>APOYO A LA OPERATIVIDAD DEL PROGRAMA NACIONAL MÁS FAMILIAS EN ACCIÓN EN EL MUNICIPIO DE BUCARAMANGA</v>
      </c>
      <c r="E793" s="13" t="s">
        <v>1670</v>
      </c>
      <c r="F793" s="15">
        <v>2903</v>
      </c>
      <c r="G793" s="22" t="s">
        <v>35</v>
      </c>
      <c r="H793" s="21" t="s">
        <v>36</v>
      </c>
      <c r="I793" s="13" t="s">
        <v>795</v>
      </c>
      <c r="J793" s="13" t="s">
        <v>472</v>
      </c>
      <c r="K793" s="16">
        <v>45104</v>
      </c>
      <c r="L793" s="17">
        <v>11000000</v>
      </c>
      <c r="M793" s="17">
        <v>11000000</v>
      </c>
      <c r="N793" s="18">
        <f>200000+2000000+2000000</f>
        <v>4200000</v>
      </c>
      <c r="O793" s="22" t="s">
        <v>1743</v>
      </c>
      <c r="Q793" s="13">
        <v>7590</v>
      </c>
      <c r="R793" s="13" t="s">
        <v>473</v>
      </c>
      <c r="S793" s="13" t="s">
        <v>797</v>
      </c>
      <c r="T793" s="13" t="s">
        <v>16</v>
      </c>
      <c r="U793" s="17">
        <f t="shared" si="26"/>
        <v>6800000</v>
      </c>
    </row>
    <row r="794" spans="1:21" x14ac:dyDescent="0.3">
      <c r="A794" s="13">
        <v>95</v>
      </c>
      <c r="B794" s="13" t="str">
        <f>+VLOOKUP(A794,'[1]PA 2023'!$A$8:$E$84,5)</f>
        <v>Formular e implementar 1 estrategia que promueva  las actividades psicosociales, actividades artísticas y culturales,   actividades físicas y recreación y actividades productivas en las personas mayores.</v>
      </c>
      <c r="C794" s="14">
        <v>2020680010040</v>
      </c>
      <c r="D794" s="14" t="str">
        <f>+VLOOKUP(C794,'[1]PA 2023'!$G$8:$H$84,2,FALSE)</f>
        <v>IMPLEMENTACIÓN DE ACCIONES TENDIENTES A MEJORAR LAS CONDICIONES DE LOS ADULTOS MAYORES DEL MUNICIPIO DE BUCARAMANGA</v>
      </c>
      <c r="E794" s="13" t="s">
        <v>700</v>
      </c>
      <c r="F794" s="15">
        <v>2902</v>
      </c>
      <c r="G794" s="22" t="s">
        <v>43</v>
      </c>
      <c r="H794" s="21" t="s">
        <v>36</v>
      </c>
      <c r="I794" s="13" t="s">
        <v>1090</v>
      </c>
      <c r="J794" s="13" t="s">
        <v>1554</v>
      </c>
      <c r="K794" s="16">
        <v>45104</v>
      </c>
      <c r="L794" s="17">
        <v>15000000</v>
      </c>
      <c r="M794" s="17">
        <v>15000000</v>
      </c>
      <c r="N794" s="18">
        <f>300000+3000000+3000000</f>
        <v>6300000</v>
      </c>
      <c r="O794" s="22" t="s">
        <v>1744</v>
      </c>
      <c r="Q794" s="13">
        <v>7592</v>
      </c>
      <c r="R794" s="13" t="s">
        <v>1556</v>
      </c>
      <c r="S794" s="13" t="s">
        <v>1092</v>
      </c>
      <c r="T794" s="13" t="s">
        <v>16</v>
      </c>
      <c r="U794" s="17">
        <f t="shared" si="26"/>
        <v>8700000</v>
      </c>
    </row>
    <row r="795" spans="1:21" x14ac:dyDescent="0.3">
      <c r="A795" s="13">
        <v>93</v>
      </c>
      <c r="B795" s="13" t="str">
        <f>+VLOOKUP(A795,'[1]PA 2023'!$A$8:$E$84,5)</f>
        <v>Mantener en funcionamiento los 3 Centros Vida con la prestacion de servicios integrales y/o dotacion de los mismos cumpliendo con la oferta institucional.</v>
      </c>
      <c r="C795" s="14">
        <v>2020680010040</v>
      </c>
      <c r="D795" s="14" t="str">
        <f>+VLOOKUP(C795,'[1]PA 2023'!$G$8:$H$84,2,FALSE)</f>
        <v>IMPLEMENTACIÓN DE ACCIONES TENDIENTES A MEJORAR LAS CONDICIONES DE LOS ADULTOS MAYORES DEL MUNICIPIO DE BUCARAMANGA</v>
      </c>
      <c r="E795" s="13" t="s">
        <v>1745</v>
      </c>
      <c r="F795" s="15" t="s">
        <v>22</v>
      </c>
      <c r="G795" s="22" t="s">
        <v>23</v>
      </c>
      <c r="H795" s="21" t="s">
        <v>23</v>
      </c>
      <c r="I795" s="13" t="s">
        <v>470</v>
      </c>
      <c r="J795" s="13" t="s">
        <v>25</v>
      </c>
      <c r="K795" s="16">
        <v>45104</v>
      </c>
      <c r="L795" s="17">
        <v>579198</v>
      </c>
      <c r="M795" s="17">
        <v>579198</v>
      </c>
      <c r="N795" s="18">
        <v>579198</v>
      </c>
      <c r="O795" s="15" t="s">
        <v>23</v>
      </c>
      <c r="Q795" s="13">
        <v>7597</v>
      </c>
      <c r="R795" s="23" t="s">
        <v>26</v>
      </c>
      <c r="S795" s="13" t="s">
        <v>471</v>
      </c>
      <c r="T795" s="13" t="s">
        <v>16</v>
      </c>
      <c r="U795" s="17">
        <f t="shared" si="26"/>
        <v>0</v>
      </c>
    </row>
    <row r="796" spans="1:21" x14ac:dyDescent="0.3">
      <c r="A796" s="13">
        <v>111</v>
      </c>
      <c r="B796" s="13" t="str">
        <f>+VLOOKUP(A796,'[1]PA 2023'!$A$8:$E$84,5)</f>
        <v xml:space="preserve">Mantener la identificación, caracterización y seguimiento de la situación de cada habitante de calle atendido por la Secretaría de Desarrollo Social. </v>
      </c>
      <c r="C796" s="14">
        <v>2020680010050</v>
      </c>
      <c r="D796" s="14" t="str">
        <f>+VLOOKUP(C796,'[1]PA 2023'!$G$8:$H$84,2,FALSE)</f>
        <v>DESARROLLO DE ACCIONES ENCAMINADAS A GENERAR ATENCIÓN INTEGRAL HACIA LA POBLACIÓN HABITANTES EN SITUACIÓN DE CALLE DEL MUNICIPIO DE BUCARAMANGA</v>
      </c>
      <c r="E796" s="13" t="s">
        <v>1745</v>
      </c>
      <c r="F796" s="15" t="s">
        <v>22</v>
      </c>
      <c r="G796" s="22" t="s">
        <v>23</v>
      </c>
      <c r="H796" s="21" t="s">
        <v>23</v>
      </c>
      <c r="I796" s="13" t="s">
        <v>470</v>
      </c>
      <c r="J796" s="13" t="s">
        <v>768</v>
      </c>
      <c r="K796" s="16">
        <v>45104</v>
      </c>
      <c r="L796" s="17">
        <v>203801</v>
      </c>
      <c r="M796" s="17">
        <v>203801</v>
      </c>
      <c r="N796" s="18">
        <v>203801</v>
      </c>
      <c r="O796" s="15" t="s">
        <v>23</v>
      </c>
      <c r="Q796" s="13">
        <v>7597</v>
      </c>
      <c r="R796" s="23" t="s">
        <v>770</v>
      </c>
      <c r="S796" s="13" t="s">
        <v>471</v>
      </c>
      <c r="T796" s="13" t="s">
        <v>16</v>
      </c>
      <c r="U796" s="17">
        <f t="shared" si="26"/>
        <v>0</v>
      </c>
    </row>
    <row r="797" spans="1:21" x14ac:dyDescent="0.3">
      <c r="A797" s="13">
        <v>105</v>
      </c>
      <c r="B797" s="13" t="str">
        <f>+VLOOKUP(A797,'[1]PA 2023'!$A$8:$E$84,5)</f>
        <v>Mantener el Centro Integral de la Mujer a fin de garantizar el fortalecimiento de los procesos de atención y empoderamiento femenino.</v>
      </c>
      <c r="C797" s="14">
        <v>2020680010106</v>
      </c>
      <c r="D797" s="14" t="str">
        <f>+VLOOKUP(C797,'[1]PA 2023'!$G$8:$H$84,2,FALSE)</f>
        <v>FORTALECIMIENTO DE ESPACIOS DE PARTICIPACIÓN Y PREVENCIÓN DE VIOLENCIAS EN MUJERES Y POBLACIÓN CON ORIENTACIONES SEXUALES E IDENTIDADES DE GÉNERO DIVERSAS DEL MUNICIPIO DE BUCARAMANGA</v>
      </c>
      <c r="E797" s="13" t="s">
        <v>1745</v>
      </c>
      <c r="F797" s="15" t="s">
        <v>22</v>
      </c>
      <c r="G797" s="22" t="s">
        <v>23</v>
      </c>
      <c r="H797" s="21" t="s">
        <v>23</v>
      </c>
      <c r="I797" s="13" t="s">
        <v>470</v>
      </c>
      <c r="J797" s="13" t="s">
        <v>378</v>
      </c>
      <c r="K797" s="16">
        <v>45104</v>
      </c>
      <c r="L797" s="17">
        <v>203801</v>
      </c>
      <c r="M797" s="17">
        <v>203801</v>
      </c>
      <c r="N797" s="18">
        <v>203801</v>
      </c>
      <c r="O797" s="15" t="s">
        <v>23</v>
      </c>
      <c r="Q797" s="13">
        <v>7597</v>
      </c>
      <c r="R797" s="23" t="s">
        <v>380</v>
      </c>
      <c r="S797" s="13" t="s">
        <v>471</v>
      </c>
      <c r="T797" s="13" t="s">
        <v>16</v>
      </c>
      <c r="U797" s="17">
        <f t="shared" si="26"/>
        <v>0</v>
      </c>
    </row>
    <row r="798" spans="1:21" x14ac:dyDescent="0.3">
      <c r="A798" s="13">
        <v>202</v>
      </c>
      <c r="B798" s="13" t="str">
        <f>+VLOOKUP(A798,'[1]PA 2023'!$A$8:$E$84,5)</f>
        <v>Instalar 200 sistemas de riego por goteo en la zona rural.</v>
      </c>
      <c r="C798" s="14">
        <v>2020680010123</v>
      </c>
      <c r="D798" s="14" t="str">
        <f>+VLOOKUP(C798,'[1]PA 2023'!$G$8:$H$84,2,FALSE)</f>
        <v>FORTALECIMIENTO DE LA PRODUCTIVIDAD Y COMPETITIVIDAD AGROPECUARIA EN EL SECTOR RURAL DEL MUNICIPIO DE BUCARAMANGA</v>
      </c>
      <c r="E798" s="13" t="s">
        <v>1746</v>
      </c>
      <c r="F798" s="15">
        <v>152</v>
      </c>
      <c r="G798" s="22" t="s">
        <v>1180</v>
      </c>
      <c r="H798" s="21" t="s">
        <v>1187</v>
      </c>
      <c r="I798" s="13" t="s">
        <v>1747</v>
      </c>
      <c r="J798" s="13" t="s">
        <v>1748</v>
      </c>
      <c r="K798" s="16">
        <v>45104</v>
      </c>
      <c r="L798" s="17">
        <v>70000000</v>
      </c>
      <c r="M798" s="17">
        <v>70000000</v>
      </c>
      <c r="N798" s="18">
        <v>69999979.280000001</v>
      </c>
      <c r="O798" s="22" t="s">
        <v>1749</v>
      </c>
      <c r="Q798" s="13">
        <v>7601</v>
      </c>
      <c r="R798" s="13" t="s">
        <v>1750</v>
      </c>
      <c r="S798" s="13" t="s">
        <v>1751</v>
      </c>
      <c r="T798" s="13" t="s">
        <v>16</v>
      </c>
      <c r="U798" s="17">
        <f t="shared" si="26"/>
        <v>20.719999998807907</v>
      </c>
    </row>
    <row r="799" spans="1:21" x14ac:dyDescent="0.3">
      <c r="A799" s="13">
        <v>99</v>
      </c>
      <c r="B799" s="13" t="str">
        <f>+VLOOKUP(A799,'[1]PA 2023'!$A$8:$E$84,5)</f>
        <v>Formular e implementar 1 estrategia para brindar asistencia social a la población afectada por las diferentes emergencias y particularmente COVID-19.</v>
      </c>
      <c r="C799" s="14">
        <v>2022680010036</v>
      </c>
      <c r="D799" s="14" t="str">
        <f>+VLOOKUP(C799,'[1]PA 2023'!$G$8:$H$84,2,FALSE)</f>
        <v>IMPLEMENTACIÓN DE ACCIONES DE ASISTENCIA SOCIAL ORIENTADAS A LA POBLACIÓN AFECTADA POR LAS DIFERENTES EMERGENCIAS SOCIALES, NATURALES, SANITARIAS ANTRÓPICAS O EN SITUACIÓN DE VULNERABILIDAD EN EL MUNICIPIO DE BUCARAMANGA</v>
      </c>
      <c r="E799" s="13" t="s">
        <v>1752</v>
      </c>
      <c r="F799" s="15">
        <v>2935</v>
      </c>
      <c r="G799" s="22" t="s">
        <v>35</v>
      </c>
      <c r="H799" s="21" t="s">
        <v>36</v>
      </c>
      <c r="I799" s="13" t="s">
        <v>1192</v>
      </c>
      <c r="J799" s="13" t="s">
        <v>538</v>
      </c>
      <c r="K799" s="16">
        <v>45105</v>
      </c>
      <c r="L799" s="17">
        <v>9900000</v>
      </c>
      <c r="M799" s="17">
        <v>9900000</v>
      </c>
      <c r="N799" s="18">
        <f>180000+1800000+1800000</f>
        <v>3780000</v>
      </c>
      <c r="O799" s="22" t="s">
        <v>1753</v>
      </c>
      <c r="Q799" s="13">
        <v>7622</v>
      </c>
      <c r="R799" s="13" t="s">
        <v>540</v>
      </c>
      <c r="S799" s="13" t="s">
        <v>1194</v>
      </c>
      <c r="T799" s="13" t="s">
        <v>16</v>
      </c>
      <c r="U799" s="17">
        <f t="shared" si="26"/>
        <v>6120000</v>
      </c>
    </row>
    <row r="800" spans="1:21" x14ac:dyDescent="0.3">
      <c r="A800" s="13">
        <v>300</v>
      </c>
      <c r="B800" s="13" t="str">
        <f>+VLOOKUP(A800,'[1]PA 2023'!$A$8:$E$84,5)</f>
        <v>Mantener el 100% de los programas que desarrolla la Administración Central.</v>
      </c>
      <c r="C800" s="14">
        <v>2023680010016</v>
      </c>
      <c r="D800" s="14" t="str">
        <f>+VLOOKUP(C800,'[1]PA 2023'!$G$8:$H$84,2,FALSE)</f>
        <v>APOYO A LA GESTIÓN ADMINISTRATIVA Y PROCESOS TRANSVERSALES DE LA SECRETARIA DE DESARROLLO SOCIAL DEL MUNICIPIO DE BUCARAMANGA</v>
      </c>
      <c r="E800" s="13" t="s">
        <v>1754</v>
      </c>
      <c r="F800" s="15">
        <v>2929</v>
      </c>
      <c r="G800" s="21" t="s">
        <v>43</v>
      </c>
      <c r="H800" s="21" t="s">
        <v>36</v>
      </c>
      <c r="I800" s="13" t="s">
        <v>883</v>
      </c>
      <c r="J800" s="13" t="s">
        <v>1388</v>
      </c>
      <c r="K800" s="16">
        <v>45105</v>
      </c>
      <c r="L800" s="17">
        <v>19833333.329999998</v>
      </c>
      <c r="M800" s="17">
        <v>19833333.329999998</v>
      </c>
      <c r="N800" s="18">
        <f>350000+3500000+2683333.33</f>
        <v>6533333.3300000001</v>
      </c>
      <c r="O800" s="22" t="s">
        <v>1755</v>
      </c>
      <c r="Q800" s="13">
        <v>7623</v>
      </c>
      <c r="R800" s="23" t="s">
        <v>1390</v>
      </c>
      <c r="S800" s="13" t="s">
        <v>885</v>
      </c>
      <c r="T800" s="13" t="s">
        <v>16</v>
      </c>
      <c r="U800" s="17">
        <f>+M800-N800+M1023</f>
        <v>0</v>
      </c>
    </row>
    <row r="801" spans="1:21" x14ac:dyDescent="0.3">
      <c r="A801" s="13">
        <v>67</v>
      </c>
      <c r="B801" s="13" t="str">
        <f>+VLOOKUP(A801,'[1]PA 2023'!$A$8:$E$84,5)</f>
        <v>Formular e implementar 1 estrategia para el fortalecimiento de padres/madres y/o cuidadores en pautas de crianza y vínculos afectivos tanto en el ámbito familiar como comunitario que permita disminuir las violencias en primera infancia.</v>
      </c>
      <c r="C801" s="14">
        <v>2021680010003</v>
      </c>
      <c r="D801" s="14" t="str">
        <f>+VLOOKUP(C801,'[1]PA 2023'!$G$8:$H$84,2,FALSE)</f>
        <v>IMPLEMENTACIÓN DE ESTRATEGIAS PSICOPEDAGÓGICAS PARA LA DISMINUCIÓN DE FACTORES DE RIESGO EN NIÑOS, NIÑAS Y ADOLESCENTES EN EL MUNICIPIO DE BUCARAMANGA</v>
      </c>
      <c r="E801" s="13" t="s">
        <v>1756</v>
      </c>
      <c r="F801" s="15">
        <v>2937</v>
      </c>
      <c r="G801" s="21" t="s">
        <v>43</v>
      </c>
      <c r="H801" s="21" t="s">
        <v>36</v>
      </c>
      <c r="I801" s="13" t="s">
        <v>1296</v>
      </c>
      <c r="J801" s="13" t="s">
        <v>1578</v>
      </c>
      <c r="K801" s="16">
        <v>45105</v>
      </c>
      <c r="L801" s="17">
        <v>15000000</v>
      </c>
      <c r="M801" s="17">
        <v>15000000</v>
      </c>
      <c r="N801" s="18">
        <f>300000+3000000+3000000</f>
        <v>6300000</v>
      </c>
      <c r="O801" s="22" t="s">
        <v>1757</v>
      </c>
      <c r="Q801" s="13">
        <v>7626</v>
      </c>
      <c r="R801" s="13" t="s">
        <v>1580</v>
      </c>
      <c r="S801" s="13" t="s">
        <v>1298</v>
      </c>
      <c r="T801" s="13" t="s">
        <v>16</v>
      </c>
      <c r="U801" s="17">
        <f t="shared" ref="U801:U864" si="27">+M801-N801</f>
        <v>8700000</v>
      </c>
    </row>
    <row r="802" spans="1:21" x14ac:dyDescent="0.3">
      <c r="A802" s="13">
        <v>113</v>
      </c>
      <c r="B802" s="13" t="str">
        <f>+VLOOKUP(A802,'[1]PA 2023'!$A$8:$E$84,5)</f>
        <v>Formular e implementar 1 política pública para habitante de calle.</v>
      </c>
      <c r="C802" s="14">
        <v>2020680010050</v>
      </c>
      <c r="D802" s="14" t="str">
        <f>+VLOOKUP(C802,'[1]PA 2023'!$G$8:$H$84,2,FALSE)</f>
        <v>DESARROLLO DE ACCIONES ENCAMINADAS A GENERAR ATENCIÓN INTEGRAL HACIA LA POBLACIÓN HABITANTES EN SITUACIÓN DE CALLE DEL MUNICIPIO DE BUCARAMANGA</v>
      </c>
      <c r="E802" s="13" t="s">
        <v>1758</v>
      </c>
      <c r="F802" s="15">
        <v>2939</v>
      </c>
      <c r="G802" s="21" t="s">
        <v>43</v>
      </c>
      <c r="H802" s="21" t="s">
        <v>36</v>
      </c>
      <c r="I802" s="13" t="s">
        <v>844</v>
      </c>
      <c r="J802" s="13" t="s">
        <v>1759</v>
      </c>
      <c r="K802" s="16">
        <v>45105</v>
      </c>
      <c r="L802" s="17">
        <v>19250000</v>
      </c>
      <c r="M802" s="17">
        <v>19250000</v>
      </c>
      <c r="N802" s="18">
        <f>350000+3500000+3500000</f>
        <v>7350000</v>
      </c>
      <c r="O802" s="22" t="s">
        <v>1760</v>
      </c>
      <c r="Q802" s="13">
        <v>7627</v>
      </c>
      <c r="R802" s="13" t="s">
        <v>1761</v>
      </c>
      <c r="S802" s="13" t="s">
        <v>846</v>
      </c>
      <c r="T802" s="13" t="s">
        <v>16</v>
      </c>
      <c r="U802" s="17">
        <f t="shared" si="27"/>
        <v>11900000</v>
      </c>
    </row>
    <row r="803" spans="1:21" x14ac:dyDescent="0.3">
      <c r="A803" s="13">
        <v>78</v>
      </c>
      <c r="B803" s="13" t="str">
        <f>+VLOOKUP(A803,'[1]PA 2023'!$A$8:$E$84,5)</f>
        <v>Formular e implementar 1 ruta de atención integral para niños, niñas, adolescentes refugiados y migrantes y sus familias.</v>
      </c>
      <c r="C803" s="14">
        <v>2022680010056</v>
      </c>
      <c r="D803" s="14" t="str">
        <f>+VLOOKUP(C803,'[1]PA 2023'!$G$8:$H$84,2,FALSE)</f>
        <v>APOYO EN LOS PROCESOS DE ATENCIÓN INTEGRAL DE LOS NIÑOS Y NIÑAS EN EL ESPACIO DE CUIDADO Y ALBERGUE "CASA BÚHO" EN EL MUNICIPIO DE BUCARAMANGA</v>
      </c>
      <c r="E803" s="13" t="s">
        <v>1544</v>
      </c>
      <c r="F803" s="15">
        <v>2938</v>
      </c>
      <c r="G803" s="21" t="s">
        <v>43</v>
      </c>
      <c r="H803" s="21" t="s">
        <v>36</v>
      </c>
      <c r="I803" s="13" t="s">
        <v>227</v>
      </c>
      <c r="J803" s="13" t="s">
        <v>1531</v>
      </c>
      <c r="K803" s="16">
        <v>45105</v>
      </c>
      <c r="L803" s="17">
        <v>15000000</v>
      </c>
      <c r="M803" s="17">
        <v>15000000</v>
      </c>
      <c r="N803" s="18">
        <f>300000+3000000+3000000</f>
        <v>6300000</v>
      </c>
      <c r="O803" s="22" t="s">
        <v>1762</v>
      </c>
      <c r="Q803" s="13">
        <v>7628</v>
      </c>
      <c r="R803" s="13" t="s">
        <v>1533</v>
      </c>
      <c r="S803" s="13" t="s">
        <v>229</v>
      </c>
      <c r="T803" s="13" t="s">
        <v>16</v>
      </c>
      <c r="U803" s="17">
        <f t="shared" si="27"/>
        <v>8700000</v>
      </c>
    </row>
    <row r="804" spans="1:21" x14ac:dyDescent="0.3">
      <c r="A804" s="13">
        <v>113</v>
      </c>
      <c r="B804" s="13" t="str">
        <f>+VLOOKUP(A804,'[1]PA 2023'!$A$8:$E$84,5)</f>
        <v>Formular e implementar 1 política pública para habitante de calle.</v>
      </c>
      <c r="C804" s="14">
        <v>2020680010050</v>
      </c>
      <c r="D804" s="14" t="str">
        <f>+VLOOKUP(C804,'[1]PA 2023'!$G$8:$H$84,2,FALSE)</f>
        <v>DESARROLLO DE ACCIONES ENCAMINADAS A GENERAR ATENCIÓN INTEGRAL HACIA LA POBLACIÓN HABITANTES EN SITUACIÓN DE CALLE DEL MUNICIPIO DE BUCARAMANGA</v>
      </c>
      <c r="E804" s="13" t="s">
        <v>912</v>
      </c>
      <c r="F804" s="15">
        <v>2941</v>
      </c>
      <c r="G804" s="21" t="s">
        <v>35</v>
      </c>
      <c r="H804" s="21" t="s">
        <v>36</v>
      </c>
      <c r="I804" s="13" t="s">
        <v>913</v>
      </c>
      <c r="J804" s="13" t="s">
        <v>1759</v>
      </c>
      <c r="K804" s="16">
        <v>45105</v>
      </c>
      <c r="L804" s="17">
        <v>14850000</v>
      </c>
      <c r="M804" s="17">
        <v>14850000</v>
      </c>
      <c r="N804" s="18">
        <f>270000+2700000+2700000</f>
        <v>5670000</v>
      </c>
      <c r="O804" s="22" t="s">
        <v>1763</v>
      </c>
      <c r="Q804" s="13">
        <v>7629</v>
      </c>
      <c r="R804" s="13" t="s">
        <v>1761</v>
      </c>
      <c r="S804" s="13" t="s">
        <v>915</v>
      </c>
      <c r="T804" s="13" t="s">
        <v>16</v>
      </c>
      <c r="U804" s="17">
        <f t="shared" si="27"/>
        <v>9180000</v>
      </c>
    </row>
    <row r="805" spans="1:21" x14ac:dyDescent="0.3">
      <c r="A805" s="13">
        <v>111</v>
      </c>
      <c r="B805" s="13" t="str">
        <f>+VLOOKUP(A805,'[1]PA 2023'!$A$8:$E$84,5)</f>
        <v xml:space="preserve">Mantener la identificación, caracterización y seguimiento de la situación de cada habitante de calle atendido por la Secretaría de Desarrollo Social. </v>
      </c>
      <c r="C805" s="14">
        <v>2020680010050</v>
      </c>
      <c r="D805" s="14" t="str">
        <f>+VLOOKUP(C805,'[1]PA 2023'!$G$8:$H$84,2,FALSE)</f>
        <v>DESARROLLO DE ACCIONES ENCAMINADAS A GENERAR ATENCIÓN INTEGRAL HACIA LA POBLACIÓN HABITANTES EN SITUACIÓN DE CALLE DEL MUNICIPIO DE BUCARAMANGA</v>
      </c>
      <c r="E805" s="13" t="s">
        <v>1764</v>
      </c>
      <c r="F805" s="15">
        <v>2940</v>
      </c>
      <c r="G805" s="21" t="s">
        <v>35</v>
      </c>
      <c r="H805" s="21" t="s">
        <v>36</v>
      </c>
      <c r="I805" s="13" t="s">
        <v>806</v>
      </c>
      <c r="J805" s="13" t="s">
        <v>1759</v>
      </c>
      <c r="K805" s="16">
        <v>45105</v>
      </c>
      <c r="L805" s="17">
        <v>9900000</v>
      </c>
      <c r="M805" s="17">
        <v>9900000</v>
      </c>
      <c r="N805" s="18">
        <f>180000+1800000+1800000</f>
        <v>3780000</v>
      </c>
      <c r="O805" s="22" t="s">
        <v>1765</v>
      </c>
      <c r="Q805" s="13">
        <v>7630</v>
      </c>
      <c r="R805" s="13" t="s">
        <v>1761</v>
      </c>
      <c r="S805" s="13" t="s">
        <v>808</v>
      </c>
      <c r="T805" s="13" t="s">
        <v>16</v>
      </c>
      <c r="U805" s="17">
        <f t="shared" si="27"/>
        <v>6120000</v>
      </c>
    </row>
    <row r="806" spans="1:21" x14ac:dyDescent="0.3">
      <c r="A806" s="13">
        <v>283</v>
      </c>
      <c r="B806" s="13" t="str">
        <f>+VLOOKUP(A806,'[1]PA 2023'!$A$8:$E$84,5)</f>
        <v>Formular e implementar 1 estrategia que fortalezca la democracia participativa (Ley 1757 de 2015).</v>
      </c>
      <c r="C806" s="14">
        <v>2022680010029</v>
      </c>
      <c r="D806" s="14" t="str">
        <f>+VLOOKUP(C806,'[1]PA 2023'!$G$8:$H$84,2,FALSE)</f>
        <v>FORTALECIMIENTO DE LA PARTICIPACIÓN CIUDADANA EN EL MUNICIPIO DE BUCARAMANGA</v>
      </c>
      <c r="E806" s="13" t="s">
        <v>1766</v>
      </c>
      <c r="F806" s="15">
        <v>2928</v>
      </c>
      <c r="G806" s="21" t="s">
        <v>43</v>
      </c>
      <c r="H806" s="21" t="s">
        <v>36</v>
      </c>
      <c r="I806" s="13" t="s">
        <v>697</v>
      </c>
      <c r="J806" s="13" t="s">
        <v>1505</v>
      </c>
      <c r="K806" s="16">
        <v>45105</v>
      </c>
      <c r="L806" s="17">
        <v>15000000</v>
      </c>
      <c r="M806" s="17">
        <v>15000000</v>
      </c>
      <c r="N806" s="18">
        <f>300000+3000000+3000000</f>
        <v>6300000</v>
      </c>
      <c r="O806" s="22" t="s">
        <v>1767</v>
      </c>
      <c r="Q806" s="13">
        <v>7631</v>
      </c>
      <c r="R806" s="13" t="s">
        <v>1462</v>
      </c>
      <c r="S806" s="13" t="s">
        <v>699</v>
      </c>
      <c r="T806" s="13" t="s">
        <v>16</v>
      </c>
      <c r="U806" s="17">
        <f t="shared" si="27"/>
        <v>8700000</v>
      </c>
    </row>
    <row r="807" spans="1:21" x14ac:dyDescent="0.3">
      <c r="A807" s="13">
        <v>105</v>
      </c>
      <c r="B807" s="13" t="str">
        <f>+VLOOKUP(A807,'[1]PA 2023'!$A$8:$E$84,5)</f>
        <v>Mantener el Centro Integral de la Mujer a fin de garantizar el fortalecimiento de los procesos de atención y empoderamiento femenino.</v>
      </c>
      <c r="C807" s="14">
        <v>2023680010015</v>
      </c>
      <c r="D807" s="14" t="str">
        <f>+VLOOKUP(C807,'[1]PA 2023'!$G$8:$H$84,2,FALSE)</f>
        <v>FORTALECIMIENTO DE ACCIONES ORIENTADAS AL CIERRE DE BRECHAS DE GÉNERO PARA MUJERES Y POBLACIÓN CON ORIENTACIONES SEXUALES E IDENTIDADES DE GÉNERO DIVERSAS DEL MUNICIPIO DE BUCARAMANGA</v>
      </c>
      <c r="E807" s="13" t="s">
        <v>801</v>
      </c>
      <c r="F807" s="15">
        <v>2934</v>
      </c>
      <c r="G807" s="21" t="s">
        <v>43</v>
      </c>
      <c r="H807" s="21" t="s">
        <v>36</v>
      </c>
      <c r="I807" s="13" t="s">
        <v>1768</v>
      </c>
      <c r="J807" s="13" t="s">
        <v>1488</v>
      </c>
      <c r="K807" s="16">
        <v>45105</v>
      </c>
      <c r="L807" s="17">
        <v>17500000</v>
      </c>
      <c r="M807" s="17">
        <v>17500000</v>
      </c>
      <c r="N807" s="18">
        <f>350000+3500000+3500000</f>
        <v>7350000</v>
      </c>
      <c r="O807" s="22" t="s">
        <v>1769</v>
      </c>
      <c r="Q807" s="13">
        <v>7632</v>
      </c>
      <c r="R807" s="13" t="s">
        <v>1490</v>
      </c>
      <c r="S807" s="13" t="s">
        <v>804</v>
      </c>
      <c r="T807" s="13" t="s">
        <v>16</v>
      </c>
      <c r="U807" s="17">
        <f t="shared" si="27"/>
        <v>10150000</v>
      </c>
    </row>
    <row r="808" spans="1:21" x14ac:dyDescent="0.3">
      <c r="A808" s="13">
        <v>285</v>
      </c>
      <c r="B808" s="13" t="str">
        <f>+VLOOKUP(A808,'[1]PA 2023'!$A$8:$E$84,5)</f>
        <v>Mantener en funcionamiento el 100% de los salones comunales que hacen parte del programa Ágoras.</v>
      </c>
      <c r="C808" s="14">
        <v>2022680010029</v>
      </c>
      <c r="D808" s="14" t="str">
        <f>+VLOOKUP(C808,'[1]PA 2023'!$G$8:$H$84,2,FALSE)</f>
        <v>FORTALECIMIENTO DE LA PARTICIPACIÓN CIUDADANA EN EL MUNICIPIO DE BUCARAMANGA</v>
      </c>
      <c r="E808" s="13" t="s">
        <v>1681</v>
      </c>
      <c r="F808" s="15">
        <v>2933</v>
      </c>
      <c r="G808" s="21" t="s">
        <v>35</v>
      </c>
      <c r="H808" s="21" t="s">
        <v>36</v>
      </c>
      <c r="I808" s="13" t="s">
        <v>1770</v>
      </c>
      <c r="J808" s="13" t="s">
        <v>1505</v>
      </c>
      <c r="K808" s="16">
        <v>45105</v>
      </c>
      <c r="L808" s="17">
        <v>9000000</v>
      </c>
      <c r="M808" s="17">
        <v>9000000</v>
      </c>
      <c r="N808" s="18">
        <f>1980000+1800000</f>
        <v>3780000</v>
      </c>
      <c r="O808" s="22" t="s">
        <v>1771</v>
      </c>
      <c r="Q808" s="13">
        <v>7633</v>
      </c>
      <c r="R808" s="13" t="s">
        <v>1462</v>
      </c>
      <c r="S808" s="13" t="s">
        <v>684</v>
      </c>
      <c r="T808" s="13" t="s">
        <v>16</v>
      </c>
      <c r="U808" s="17">
        <f t="shared" si="27"/>
        <v>5220000</v>
      </c>
    </row>
    <row r="809" spans="1:21" x14ac:dyDescent="0.3">
      <c r="A809" s="13">
        <v>285</v>
      </c>
      <c r="B809" s="13" t="str">
        <f>+VLOOKUP(A809,'[1]PA 2023'!$A$8:$E$84,5)</f>
        <v>Mantener en funcionamiento el 100% de los salones comunales que hacen parte del programa Ágoras.</v>
      </c>
      <c r="C809" s="14">
        <v>2022680010029</v>
      </c>
      <c r="D809" s="14" t="str">
        <f>+VLOOKUP(C809,'[1]PA 2023'!$G$8:$H$84,2,FALSE)</f>
        <v>FORTALECIMIENTO DE LA PARTICIPACIÓN CIUDADANA EN EL MUNICIPIO DE BUCARAMANGA</v>
      </c>
      <c r="E809" s="13" t="s">
        <v>1681</v>
      </c>
      <c r="F809" s="15">
        <v>2898</v>
      </c>
      <c r="G809" s="21" t="s">
        <v>35</v>
      </c>
      <c r="H809" s="21" t="s">
        <v>36</v>
      </c>
      <c r="I809" s="13" t="s">
        <v>750</v>
      </c>
      <c r="J809" s="13" t="s">
        <v>1505</v>
      </c>
      <c r="K809" s="16">
        <v>45105</v>
      </c>
      <c r="L809" s="17">
        <v>9000000</v>
      </c>
      <c r="M809" s="17">
        <v>9000000</v>
      </c>
      <c r="N809" s="18">
        <f>1980000+1800000</f>
        <v>3780000</v>
      </c>
      <c r="O809" s="22" t="s">
        <v>1772</v>
      </c>
      <c r="Q809" s="13">
        <v>7634</v>
      </c>
      <c r="R809" s="13" t="s">
        <v>1462</v>
      </c>
      <c r="S809" s="13" t="s">
        <v>752</v>
      </c>
      <c r="T809" s="13" t="s">
        <v>16</v>
      </c>
      <c r="U809" s="17">
        <f t="shared" si="27"/>
        <v>5220000</v>
      </c>
    </row>
    <row r="810" spans="1:21" x14ac:dyDescent="0.3">
      <c r="A810" s="13">
        <v>283</v>
      </c>
      <c r="B810" s="13" t="str">
        <f>+VLOOKUP(A810,'[1]PA 2023'!$A$8:$E$84,5)</f>
        <v>Formular e implementar 1 estrategia que fortalezca la democracia participativa (Ley 1757 de 2015).</v>
      </c>
      <c r="C810" s="14">
        <v>2022680010029</v>
      </c>
      <c r="D810" s="14" t="str">
        <f>+VLOOKUP(C810,'[1]PA 2023'!$G$8:$H$84,2,FALSE)</f>
        <v>FORTALECIMIENTO DE LA PARTICIPACIÓN CIUDADANA EN EL MUNICIPIO DE BUCARAMANGA</v>
      </c>
      <c r="E810" s="13" t="s">
        <v>1773</v>
      </c>
      <c r="F810" s="15">
        <v>2936</v>
      </c>
      <c r="G810" s="21" t="s">
        <v>35</v>
      </c>
      <c r="H810" s="21" t="s">
        <v>36</v>
      </c>
      <c r="I810" s="13" t="s">
        <v>606</v>
      </c>
      <c r="J810" s="13" t="s">
        <v>1505</v>
      </c>
      <c r="K810" s="16">
        <v>45105</v>
      </c>
      <c r="L810" s="17">
        <v>12500000</v>
      </c>
      <c r="M810" s="17">
        <v>12500000</v>
      </c>
      <c r="N810" s="18">
        <f>2750000+2500000</f>
        <v>5250000</v>
      </c>
      <c r="O810" s="22" t="s">
        <v>1774</v>
      </c>
      <c r="Q810" s="13">
        <v>7692</v>
      </c>
      <c r="R810" s="13" t="s">
        <v>1462</v>
      </c>
      <c r="S810" s="13" t="s">
        <v>608</v>
      </c>
      <c r="T810" s="13" t="s">
        <v>16</v>
      </c>
      <c r="U810" s="17">
        <f t="shared" si="27"/>
        <v>7250000</v>
      </c>
    </row>
    <row r="811" spans="1:21" x14ac:dyDescent="0.3">
      <c r="A811" s="13">
        <v>98</v>
      </c>
      <c r="B811" s="13" t="str">
        <f>+VLOOKUP(A811,'[1]PA 2023'!$A$8:$E$84,5)</f>
        <v>Mantener el 100% del apoyo logístico a las familias beneficiadas del programa Familias en Acción.</v>
      </c>
      <c r="C811" s="14">
        <v>2020680010072</v>
      </c>
      <c r="D811" s="14" t="str">
        <f>+VLOOKUP(C811,'[1]PA 2023'!$G$8:$H$84,2,FALSE)</f>
        <v>APOYO A LA OPERATIVIDAD DEL PROGRAMA NACIONAL MÁS FAMILIAS EN ACCIÓN EN EL MUNICIPIO DE BUCARAMANGA</v>
      </c>
      <c r="E811" s="13" t="s">
        <v>1670</v>
      </c>
      <c r="F811" s="15">
        <v>2914</v>
      </c>
      <c r="G811" s="22" t="s">
        <v>35</v>
      </c>
      <c r="H811" s="21" t="s">
        <v>36</v>
      </c>
      <c r="I811" s="13" t="s">
        <v>724</v>
      </c>
      <c r="J811" s="13" t="s">
        <v>1466</v>
      </c>
      <c r="K811" s="16">
        <v>45105</v>
      </c>
      <c r="L811" s="17">
        <v>11000000</v>
      </c>
      <c r="M811" s="17">
        <v>11000000</v>
      </c>
      <c r="N811" s="18">
        <f>2200000+2000000</f>
        <v>4200000</v>
      </c>
      <c r="O811" s="22" t="s">
        <v>1775</v>
      </c>
      <c r="Q811" s="13">
        <v>7693</v>
      </c>
      <c r="R811" s="13" t="s">
        <v>1468</v>
      </c>
      <c r="S811" s="13" t="s">
        <v>726</v>
      </c>
      <c r="T811" s="13" t="s">
        <v>16</v>
      </c>
      <c r="U811" s="17">
        <f t="shared" si="27"/>
        <v>6800000</v>
      </c>
    </row>
    <row r="812" spans="1:21" x14ac:dyDescent="0.3">
      <c r="A812" s="13">
        <v>206</v>
      </c>
      <c r="B812" s="13" t="str">
        <f>+VLOOKUP(A812,'[1]PA 2023'!$A$8:$E$84,5)</f>
        <v>Mantener el Plan General de Asistencia Técnica.</v>
      </c>
      <c r="C812" s="14">
        <v>2020680010123</v>
      </c>
      <c r="D812" s="14" t="str">
        <f>+VLOOKUP(C812,'[1]PA 2023'!$G$8:$H$84,2,FALSE)</f>
        <v>FORTALECIMIENTO DE LA PRODUCTIVIDAD Y COMPETITIVIDAD AGROPECUARIA EN EL SECTOR RURAL DEL MUNICIPIO DE BUCARAMANGA</v>
      </c>
      <c r="E812" s="13" t="s">
        <v>1776</v>
      </c>
      <c r="F812" s="15">
        <v>2908</v>
      </c>
      <c r="G812" s="21" t="s">
        <v>43</v>
      </c>
      <c r="H812" s="21" t="s">
        <v>36</v>
      </c>
      <c r="I812" s="13" t="s">
        <v>825</v>
      </c>
      <c r="J812" s="13" t="s">
        <v>1685</v>
      </c>
      <c r="K812" s="16">
        <v>45105</v>
      </c>
      <c r="L812" s="17">
        <v>18000000</v>
      </c>
      <c r="M812" s="17">
        <v>18000000</v>
      </c>
      <c r="N812" s="18">
        <f>3300000+3000000</f>
        <v>6300000</v>
      </c>
      <c r="O812" s="22" t="s">
        <v>1777</v>
      </c>
      <c r="Q812" s="13">
        <v>7694</v>
      </c>
      <c r="R812" s="13" t="s">
        <v>1687</v>
      </c>
      <c r="S812" s="13" t="s">
        <v>827</v>
      </c>
      <c r="T812" s="13" t="s">
        <v>16</v>
      </c>
      <c r="U812" s="17">
        <f t="shared" si="27"/>
        <v>11700000</v>
      </c>
    </row>
    <row r="813" spans="1:21" x14ac:dyDescent="0.3">
      <c r="A813" s="13">
        <v>71</v>
      </c>
      <c r="B813" s="13" t="str">
        <f>+VLOOKUP(A813,'[1]PA 2023'!$A$8:$E$84,5)</f>
        <v>Formular e implementar 1 estrategia de corresponsabilidad en la garantía de derechos, la prevención de vulneración, amenaza o riesgo en el ámbito familiar, comunitario e institucional.</v>
      </c>
      <c r="C813" s="14">
        <v>2021680010003</v>
      </c>
      <c r="D813" s="14" t="str">
        <f>+VLOOKUP(C813,'[1]PA 2023'!$G$8:$H$84,2,FALSE)</f>
        <v>IMPLEMENTACIÓN DE ESTRATEGIAS PSICOPEDAGÓGICAS PARA LA DISMINUCIÓN DE FACTORES DE RIESGO EN NIÑOS, NIÑAS Y ADOLESCENTES EN EL MUNICIPIO DE BUCARAMANGA</v>
      </c>
      <c r="E813" s="13" t="s">
        <v>1778</v>
      </c>
      <c r="F813" s="15">
        <v>2858</v>
      </c>
      <c r="G813" s="21" t="s">
        <v>43</v>
      </c>
      <c r="H813" s="21" t="s">
        <v>36</v>
      </c>
      <c r="I813" s="13" t="s">
        <v>879</v>
      </c>
      <c r="J813" s="13" t="s">
        <v>1578</v>
      </c>
      <c r="K813" s="16">
        <v>45105</v>
      </c>
      <c r="L813" s="17">
        <v>17500000</v>
      </c>
      <c r="M813" s="17">
        <v>17500000</v>
      </c>
      <c r="N813" s="18">
        <f>3850000+3500000</f>
        <v>7350000</v>
      </c>
      <c r="O813" s="22" t="s">
        <v>1779</v>
      </c>
      <c r="Q813" s="13">
        <v>7697</v>
      </c>
      <c r="R813" s="13" t="s">
        <v>1580</v>
      </c>
      <c r="S813" s="13" t="s">
        <v>881</v>
      </c>
      <c r="T813" s="13" t="s">
        <v>16</v>
      </c>
      <c r="U813" s="17">
        <f t="shared" si="27"/>
        <v>10150000</v>
      </c>
    </row>
    <row r="814" spans="1:21" x14ac:dyDescent="0.3">
      <c r="A814" s="13">
        <v>206</v>
      </c>
      <c r="B814" s="13" t="str">
        <f>+VLOOKUP(A814,'[1]PA 2023'!$A$8:$E$84,5)</f>
        <v>Mantener el Plan General de Asistencia Técnica.</v>
      </c>
      <c r="C814" s="14">
        <v>2020680010123</v>
      </c>
      <c r="D814" s="14" t="str">
        <f>+VLOOKUP(C814,'[1]PA 2023'!$G$8:$H$84,2,FALSE)</f>
        <v>FORTALECIMIENTO DE LA PRODUCTIVIDAD Y COMPETITIVIDAD AGROPECUARIA EN EL SECTOR RURAL DEL MUNICIPIO DE BUCARAMANGA</v>
      </c>
      <c r="E814" s="13" t="s">
        <v>1268</v>
      </c>
      <c r="F814" s="15">
        <v>2881</v>
      </c>
      <c r="G814" s="21" t="s">
        <v>43</v>
      </c>
      <c r="H814" s="21" t="s">
        <v>36</v>
      </c>
      <c r="I814" s="13" t="s">
        <v>1269</v>
      </c>
      <c r="J814" s="13" t="s">
        <v>665</v>
      </c>
      <c r="K814" s="16">
        <v>45105</v>
      </c>
      <c r="L814" s="17">
        <v>13750000</v>
      </c>
      <c r="M814" s="17">
        <v>13750000</v>
      </c>
      <c r="N814" s="18">
        <f>2750000+2500000</f>
        <v>5250000</v>
      </c>
      <c r="O814" s="22" t="s">
        <v>1780</v>
      </c>
      <c r="Q814" s="13">
        <v>7698</v>
      </c>
      <c r="R814" s="13" t="s">
        <v>667</v>
      </c>
      <c r="S814" s="13" t="s">
        <v>1271</v>
      </c>
      <c r="T814" s="13" t="s">
        <v>16</v>
      </c>
      <c r="U814" s="17">
        <f t="shared" si="27"/>
        <v>8500000</v>
      </c>
    </row>
    <row r="815" spans="1:21" x14ac:dyDescent="0.3">
      <c r="A815" s="13">
        <v>285</v>
      </c>
      <c r="B815" s="13" t="str">
        <f>+VLOOKUP(A815,'[1]PA 2023'!$A$8:$E$84,5)</f>
        <v>Mantener en funcionamiento el 100% de los salones comunales que hacen parte del programa Ágoras.</v>
      </c>
      <c r="C815" s="14">
        <v>2022680010029</v>
      </c>
      <c r="D815" s="14" t="str">
        <f>+VLOOKUP(C815,'[1]PA 2023'!$G$8:$H$84,2,FALSE)</f>
        <v>FORTALECIMIENTO DE LA PARTICIPACIÓN CIUDADANA EN EL MUNICIPIO DE BUCARAMANGA</v>
      </c>
      <c r="E815" s="13" t="s">
        <v>1681</v>
      </c>
      <c r="F815" s="15">
        <v>2909</v>
      </c>
      <c r="G815" s="21" t="s">
        <v>35</v>
      </c>
      <c r="H815" s="21" t="s">
        <v>36</v>
      </c>
      <c r="I815" s="13" t="s">
        <v>893</v>
      </c>
      <c r="J815" s="13" t="s">
        <v>1505</v>
      </c>
      <c r="K815" s="16">
        <v>45105</v>
      </c>
      <c r="L815" s="17">
        <v>9000000</v>
      </c>
      <c r="M815" s="17">
        <v>9000000</v>
      </c>
      <c r="N815" s="18">
        <f>1980000+1800000</f>
        <v>3780000</v>
      </c>
      <c r="O815" s="22" t="s">
        <v>1781</v>
      </c>
      <c r="Q815" s="13">
        <v>7699</v>
      </c>
      <c r="R815" s="13" t="s">
        <v>1462</v>
      </c>
      <c r="S815" s="13" t="s">
        <v>895</v>
      </c>
      <c r="T815" s="13" t="s">
        <v>16</v>
      </c>
      <c r="U815" s="17">
        <f t="shared" si="27"/>
        <v>5220000</v>
      </c>
    </row>
    <row r="816" spans="1:21" x14ac:dyDescent="0.3">
      <c r="A816" s="13">
        <v>285</v>
      </c>
      <c r="B816" s="13" t="str">
        <f>+VLOOKUP(A816,'[1]PA 2023'!$A$8:$E$84,5)</f>
        <v>Mantener en funcionamiento el 100% de los salones comunales que hacen parte del programa Ágoras.</v>
      </c>
      <c r="C816" s="14">
        <v>2022680010029</v>
      </c>
      <c r="D816" s="14" t="str">
        <f>+VLOOKUP(C816,'[1]PA 2023'!$G$8:$H$84,2,FALSE)</f>
        <v>FORTALECIMIENTO DE LA PARTICIPACIÓN CIUDADANA EN EL MUNICIPIO DE BUCARAMANGA</v>
      </c>
      <c r="E816" s="13" t="s">
        <v>1681</v>
      </c>
      <c r="F816" s="15">
        <v>2884</v>
      </c>
      <c r="G816" s="21" t="s">
        <v>35</v>
      </c>
      <c r="H816" s="21" t="s">
        <v>36</v>
      </c>
      <c r="I816" s="13" t="s">
        <v>747</v>
      </c>
      <c r="J816" s="13" t="s">
        <v>1505</v>
      </c>
      <c r="K816" s="16">
        <v>45105</v>
      </c>
      <c r="L816" s="17">
        <v>9000000</v>
      </c>
      <c r="M816" s="17">
        <v>9000000</v>
      </c>
      <c r="N816" s="18">
        <f>1980000+1800000</f>
        <v>3780000</v>
      </c>
      <c r="O816" s="22" t="s">
        <v>1782</v>
      </c>
      <c r="Q816" s="13">
        <v>7700</v>
      </c>
      <c r="R816" s="13" t="s">
        <v>1462</v>
      </c>
      <c r="S816" s="13" t="s">
        <v>749</v>
      </c>
      <c r="T816" s="13" t="s">
        <v>16</v>
      </c>
      <c r="U816" s="17">
        <f t="shared" si="27"/>
        <v>5220000</v>
      </c>
    </row>
    <row r="817" spans="1:21" x14ac:dyDescent="0.3">
      <c r="A817" s="13">
        <v>285</v>
      </c>
      <c r="B817" s="13" t="str">
        <f>+VLOOKUP(A817,'[1]PA 2023'!$A$8:$E$84,5)</f>
        <v>Mantener en funcionamiento el 100% de los salones comunales que hacen parte del programa Ágoras.</v>
      </c>
      <c r="C817" s="14">
        <v>2022680010029</v>
      </c>
      <c r="D817" s="14" t="str">
        <f>+VLOOKUP(C817,'[1]PA 2023'!$G$8:$H$84,2,FALSE)</f>
        <v>FORTALECIMIENTO DE LA PARTICIPACIÓN CIUDADANA EN EL MUNICIPIO DE BUCARAMANGA</v>
      </c>
      <c r="E817" s="13" t="s">
        <v>1681</v>
      </c>
      <c r="F817" s="15">
        <v>2885</v>
      </c>
      <c r="G817" s="21" t="s">
        <v>35</v>
      </c>
      <c r="H817" s="21" t="s">
        <v>36</v>
      </c>
      <c r="I817" s="13" t="s">
        <v>1043</v>
      </c>
      <c r="J817" s="13" t="s">
        <v>1505</v>
      </c>
      <c r="K817" s="16">
        <v>45105</v>
      </c>
      <c r="L817" s="17">
        <v>9000000</v>
      </c>
      <c r="M817" s="17">
        <v>9000000</v>
      </c>
      <c r="N817" s="18">
        <f>1980000+1800000</f>
        <v>3780000</v>
      </c>
      <c r="O817" s="22" t="s">
        <v>1783</v>
      </c>
      <c r="Q817" s="13">
        <v>7701</v>
      </c>
      <c r="R817" s="13" t="s">
        <v>1462</v>
      </c>
      <c r="S817" s="13" t="s">
        <v>1045</v>
      </c>
      <c r="T817" s="13" t="s">
        <v>16</v>
      </c>
      <c r="U817" s="17">
        <f t="shared" si="27"/>
        <v>5220000</v>
      </c>
    </row>
    <row r="818" spans="1:21" x14ac:dyDescent="0.3">
      <c r="A818" s="13">
        <v>285</v>
      </c>
      <c r="B818" s="13" t="str">
        <f>+VLOOKUP(A818,'[1]PA 2023'!$A$8:$E$84,5)</f>
        <v>Mantener en funcionamiento el 100% de los salones comunales que hacen parte del programa Ágoras.</v>
      </c>
      <c r="C818" s="14">
        <v>2022680010029</v>
      </c>
      <c r="D818" s="14" t="str">
        <f>+VLOOKUP(C818,'[1]PA 2023'!$G$8:$H$84,2,FALSE)</f>
        <v>FORTALECIMIENTO DE LA PARTICIPACIÓN CIUDADANA EN EL MUNICIPIO DE BUCARAMANGA</v>
      </c>
      <c r="E818" s="13" t="s">
        <v>681</v>
      </c>
      <c r="F818" s="15">
        <v>2912</v>
      </c>
      <c r="G818" s="21" t="s">
        <v>35</v>
      </c>
      <c r="H818" s="21" t="s">
        <v>36</v>
      </c>
      <c r="I818" s="13" t="s">
        <v>763</v>
      </c>
      <c r="J818" s="13" t="s">
        <v>1505</v>
      </c>
      <c r="K818" s="16">
        <v>45105</v>
      </c>
      <c r="L818" s="17">
        <v>9000000</v>
      </c>
      <c r="M818" s="17">
        <v>9000000</v>
      </c>
      <c r="N818" s="18">
        <f>1980000+1800000</f>
        <v>3780000</v>
      </c>
      <c r="O818" s="22" t="s">
        <v>1784</v>
      </c>
      <c r="Q818" s="13">
        <v>7702</v>
      </c>
      <c r="R818" s="13" t="s">
        <v>1462</v>
      </c>
      <c r="S818" s="13" t="s">
        <v>765</v>
      </c>
      <c r="T818" s="13" t="s">
        <v>16</v>
      </c>
      <c r="U818" s="17">
        <f t="shared" si="27"/>
        <v>5220000</v>
      </c>
    </row>
    <row r="819" spans="1:21" x14ac:dyDescent="0.3">
      <c r="A819" s="13">
        <v>68</v>
      </c>
      <c r="B819" s="13" t="str">
        <f>+VLOOKUP(A819,'[1]PA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819" s="14">
        <v>2021680010003</v>
      </c>
      <c r="D819" s="14" t="str">
        <f>+VLOOKUP(C819,'[1]PA 2023'!$G$8:$H$84,2,FALSE)</f>
        <v>IMPLEMENTACIÓN DE ESTRATEGIAS PSICOPEDAGÓGICAS PARA LA DISMINUCIÓN DE FACTORES DE RIESGO EN NIÑOS, NIÑAS Y ADOLESCENTES EN EL MUNICIPIO DE BUCARAMANGA</v>
      </c>
      <c r="E819" s="13" t="s">
        <v>1785</v>
      </c>
      <c r="F819" s="15">
        <v>2917</v>
      </c>
      <c r="G819" s="21" t="s">
        <v>35</v>
      </c>
      <c r="H819" s="21" t="s">
        <v>36</v>
      </c>
      <c r="I819" s="13" t="s">
        <v>327</v>
      </c>
      <c r="J819" s="13" t="s">
        <v>1578</v>
      </c>
      <c r="K819" s="16">
        <v>45105</v>
      </c>
      <c r="L819" s="17">
        <v>11000000</v>
      </c>
      <c r="M819" s="17">
        <v>11000000</v>
      </c>
      <c r="N819" s="18">
        <f>2420000+2200000</f>
        <v>4620000</v>
      </c>
      <c r="O819" s="22" t="s">
        <v>1786</v>
      </c>
      <c r="Q819" s="13">
        <v>7703</v>
      </c>
      <c r="R819" s="13" t="s">
        <v>1580</v>
      </c>
      <c r="S819" s="13" t="s">
        <v>329</v>
      </c>
      <c r="T819" s="13" t="s">
        <v>16</v>
      </c>
      <c r="U819" s="17">
        <f t="shared" si="27"/>
        <v>6380000</v>
      </c>
    </row>
    <row r="820" spans="1:21" x14ac:dyDescent="0.3">
      <c r="A820" s="13">
        <v>67</v>
      </c>
      <c r="B820" s="13" t="str">
        <f>+VLOOKUP(A820,'[1]PA 2023'!$A$8:$E$84,5)</f>
        <v>Formular e implementar 1 estrategia para el fortalecimiento de padres/madres y/o cuidadores en pautas de crianza y vínculos afectivos tanto en el ámbito familiar como comunitario que permita disminuir las violencias en primera infancia.</v>
      </c>
      <c r="C820" s="14">
        <v>2021680010003</v>
      </c>
      <c r="D820" s="14" t="str">
        <f>+VLOOKUP(C820,'[1]PA 2023'!$G$8:$H$84,2,FALSE)</f>
        <v>IMPLEMENTACIÓN DE ESTRATEGIAS PSICOPEDAGÓGICAS PARA LA DISMINUCIÓN DE FACTORES DE RIESGO EN NIÑOS, NIÑAS Y ADOLESCENTES EN EL MUNICIPIO DE BUCARAMANGA</v>
      </c>
      <c r="E820" s="13" t="s">
        <v>1756</v>
      </c>
      <c r="F820" s="15">
        <v>2924</v>
      </c>
      <c r="G820" s="21" t="s">
        <v>43</v>
      </c>
      <c r="H820" s="21" t="s">
        <v>36</v>
      </c>
      <c r="I820" s="13" t="s">
        <v>1307</v>
      </c>
      <c r="J820" s="13" t="s">
        <v>1578</v>
      </c>
      <c r="K820" s="16">
        <v>45105</v>
      </c>
      <c r="L820" s="17">
        <v>15000000</v>
      </c>
      <c r="M820" s="17">
        <v>15000000</v>
      </c>
      <c r="N820" s="18">
        <f>3300000+3000000</f>
        <v>6300000</v>
      </c>
      <c r="O820" s="22" t="s">
        <v>1787</v>
      </c>
      <c r="Q820" s="13">
        <v>7704</v>
      </c>
      <c r="R820" s="13" t="s">
        <v>1580</v>
      </c>
      <c r="S820" s="13" t="s">
        <v>1309</v>
      </c>
      <c r="T820" s="13" t="s">
        <v>16</v>
      </c>
      <c r="U820" s="17">
        <f t="shared" si="27"/>
        <v>8700000</v>
      </c>
    </row>
    <row r="821" spans="1:21" x14ac:dyDescent="0.3">
      <c r="A821" s="13">
        <v>283</v>
      </c>
      <c r="B821" s="13" t="str">
        <f>+VLOOKUP(A821,'[1]PA 2023'!$A$8:$E$84,5)</f>
        <v>Formular e implementar 1 estrategia que fortalezca la democracia participativa (Ley 1757 de 2015).</v>
      </c>
      <c r="C821" s="14">
        <v>2022680010029</v>
      </c>
      <c r="D821" s="14" t="str">
        <f>+VLOOKUP(C821,'[1]PA 2023'!$G$8:$H$84,2,FALSE)</f>
        <v>FORTALECIMIENTO DE LA PARTICIPACIÓN CIUDADANA EN EL MUNICIPIO DE BUCARAMANGA</v>
      </c>
      <c r="E821" s="13" t="s">
        <v>677</v>
      </c>
      <c r="F821" s="15">
        <v>2915</v>
      </c>
      <c r="G821" s="21" t="s">
        <v>43</v>
      </c>
      <c r="H821" s="21" t="s">
        <v>36</v>
      </c>
      <c r="I821" s="13" t="s">
        <v>1046</v>
      </c>
      <c r="J821" s="13" t="s">
        <v>1505</v>
      </c>
      <c r="K821" s="16">
        <v>45105</v>
      </c>
      <c r="L821" s="17">
        <v>15000000</v>
      </c>
      <c r="M821" s="17">
        <v>15000000</v>
      </c>
      <c r="N821" s="18">
        <f>3300000+3000000</f>
        <v>6300000</v>
      </c>
      <c r="O821" s="22" t="s">
        <v>1788</v>
      </c>
      <c r="Q821" s="13">
        <v>7705</v>
      </c>
      <c r="R821" s="13" t="s">
        <v>1462</v>
      </c>
      <c r="S821" s="13" t="s">
        <v>1048</v>
      </c>
      <c r="T821" s="13" t="s">
        <v>16</v>
      </c>
      <c r="U821" s="17">
        <f t="shared" si="27"/>
        <v>8700000</v>
      </c>
    </row>
    <row r="822" spans="1:21" x14ac:dyDescent="0.3">
      <c r="A822" s="13">
        <v>283</v>
      </c>
      <c r="B822" s="13" t="str">
        <f>+VLOOKUP(A822,'[1]PA 2023'!$A$8:$E$84,5)</f>
        <v>Formular e implementar 1 estrategia que fortalezca la democracia participativa (Ley 1757 de 2015).</v>
      </c>
      <c r="C822" s="14">
        <v>2022680010029</v>
      </c>
      <c r="D822" s="14" t="str">
        <f>+VLOOKUP(C822,'[1]PA 2023'!$G$8:$H$84,2,FALSE)</f>
        <v>FORTALECIMIENTO DE LA PARTICIPACIÓN CIUDADANA EN EL MUNICIPIO DE BUCARAMANGA</v>
      </c>
      <c r="E822" s="13" t="s">
        <v>1789</v>
      </c>
      <c r="F822" s="15">
        <v>2919</v>
      </c>
      <c r="G822" s="21" t="s">
        <v>35</v>
      </c>
      <c r="H822" s="21" t="s">
        <v>36</v>
      </c>
      <c r="I822" s="13" t="s">
        <v>994</v>
      </c>
      <c r="J822" s="13" t="s">
        <v>1505</v>
      </c>
      <c r="K822" s="16">
        <v>45105</v>
      </c>
      <c r="L822" s="17">
        <v>11500000</v>
      </c>
      <c r="M822" s="17">
        <v>11500000</v>
      </c>
      <c r="N822" s="18">
        <f>2530000+2300000</f>
        <v>4830000</v>
      </c>
      <c r="O822" s="22" t="s">
        <v>1790</v>
      </c>
      <c r="Q822" s="13">
        <v>7706</v>
      </c>
      <c r="R822" s="13" t="s">
        <v>1462</v>
      </c>
      <c r="S822" s="13" t="s">
        <v>996</v>
      </c>
      <c r="T822" s="13" t="s">
        <v>16</v>
      </c>
      <c r="U822" s="17">
        <f t="shared" si="27"/>
        <v>6670000</v>
      </c>
    </row>
    <row r="823" spans="1:21" x14ac:dyDescent="0.3">
      <c r="A823" s="13">
        <v>285</v>
      </c>
      <c r="B823" s="13" t="str">
        <f>+VLOOKUP(A823,'[1]PA 2023'!$A$8:$E$84,5)</f>
        <v>Mantener en funcionamiento el 100% de los salones comunales que hacen parte del programa Ágoras.</v>
      </c>
      <c r="C823" s="14">
        <v>2022680010029</v>
      </c>
      <c r="D823" s="14" t="str">
        <f>+VLOOKUP(C823,'[1]PA 2023'!$G$8:$H$84,2,FALSE)</f>
        <v>FORTALECIMIENTO DE LA PARTICIPACIÓN CIUDADANA EN EL MUNICIPIO DE BUCARAMANGA</v>
      </c>
      <c r="E823" s="13" t="s">
        <v>1027</v>
      </c>
      <c r="F823" s="15">
        <v>2921</v>
      </c>
      <c r="G823" s="21" t="s">
        <v>35</v>
      </c>
      <c r="H823" s="21" t="s">
        <v>36</v>
      </c>
      <c r="I823" s="13" t="s">
        <v>638</v>
      </c>
      <c r="J823" s="13" t="s">
        <v>468</v>
      </c>
      <c r="K823" s="16">
        <v>45105</v>
      </c>
      <c r="L823" s="17">
        <v>9000000</v>
      </c>
      <c r="M823" s="17">
        <v>9000000</v>
      </c>
      <c r="N823" s="18">
        <f>1980000+1800000</f>
        <v>3780000</v>
      </c>
      <c r="O823" s="22" t="s">
        <v>1791</v>
      </c>
      <c r="Q823" s="13">
        <v>7707</v>
      </c>
      <c r="R823" s="13" t="s">
        <v>134</v>
      </c>
      <c r="S823" s="13" t="s">
        <v>640</v>
      </c>
      <c r="T823" s="13" t="s">
        <v>16</v>
      </c>
      <c r="U823" s="17">
        <f t="shared" si="27"/>
        <v>5220000</v>
      </c>
    </row>
    <row r="824" spans="1:21" x14ac:dyDescent="0.3">
      <c r="A824" s="13">
        <v>113</v>
      </c>
      <c r="B824" s="13" t="str">
        <f>+VLOOKUP(A824,'[1]PA 2023'!$A$8:$E$84,5)</f>
        <v>Formular e implementar 1 política pública para habitante de calle.</v>
      </c>
      <c r="C824" s="14">
        <v>2020680010050</v>
      </c>
      <c r="D824" s="14" t="str">
        <f>+VLOOKUP(C824,'[1]PA 2023'!$G$8:$H$84,2,FALSE)</f>
        <v>DESARROLLO DE ACCIONES ENCAMINADAS A GENERAR ATENCIÓN INTEGRAL HACIA LA POBLACIÓN HABITANTES EN SITUACIÓN DE CALLE DEL MUNICIPIO DE BUCARAMANGA</v>
      </c>
      <c r="E824" s="13" t="s">
        <v>1792</v>
      </c>
      <c r="F824" s="15">
        <v>2943</v>
      </c>
      <c r="G824" s="21" t="s">
        <v>43</v>
      </c>
      <c r="H824" s="21" t="s">
        <v>36</v>
      </c>
      <c r="I824" s="13" t="s">
        <v>776</v>
      </c>
      <c r="J824" s="13" t="s">
        <v>1759</v>
      </c>
      <c r="K824" s="16">
        <v>45105</v>
      </c>
      <c r="L824" s="17">
        <v>16500000</v>
      </c>
      <c r="M824" s="17">
        <v>16500000</v>
      </c>
      <c r="N824" s="18">
        <f>3000000+3000000+300000</f>
        <v>6300000</v>
      </c>
      <c r="O824" s="22" t="s">
        <v>1793</v>
      </c>
      <c r="Q824" s="13">
        <v>7708</v>
      </c>
      <c r="R824" s="13" t="s">
        <v>1761</v>
      </c>
      <c r="S824" s="13" t="s">
        <v>778</v>
      </c>
      <c r="T824" s="13" t="s">
        <v>16</v>
      </c>
      <c r="U824" s="17">
        <f t="shared" si="27"/>
        <v>10200000</v>
      </c>
    </row>
    <row r="825" spans="1:21" x14ac:dyDescent="0.3">
      <c r="A825" s="13">
        <v>111</v>
      </c>
      <c r="B825" s="13" t="str">
        <f>+VLOOKUP(A825,'[1]PA 2023'!$A$8:$E$84,5)</f>
        <v xml:space="preserve">Mantener la identificación, caracterización y seguimiento de la situación de cada habitante de calle atendido por la Secretaría de Desarrollo Social. </v>
      </c>
      <c r="C825" s="14">
        <v>2020680010050</v>
      </c>
      <c r="D825" s="14" t="str">
        <f>+VLOOKUP(C825,'[1]PA 2023'!$G$8:$H$84,2,FALSE)</f>
        <v>DESARROLLO DE ACCIONES ENCAMINADAS A GENERAR ATENCIÓN INTEGRAL HACIA LA POBLACIÓN HABITANTES EN SITUACIÓN DE CALLE DEL MUNICIPIO DE BUCARAMANGA</v>
      </c>
      <c r="E825" s="13" t="s">
        <v>816</v>
      </c>
      <c r="F825" s="15">
        <v>2944</v>
      </c>
      <c r="G825" s="21" t="s">
        <v>43</v>
      </c>
      <c r="H825" s="21" t="s">
        <v>36</v>
      </c>
      <c r="I825" s="13" t="s">
        <v>817</v>
      </c>
      <c r="J825" s="13" t="s">
        <v>1759</v>
      </c>
      <c r="K825" s="16">
        <v>45105</v>
      </c>
      <c r="L825" s="17">
        <v>18150000</v>
      </c>
      <c r="M825" s="17">
        <v>18150000</v>
      </c>
      <c r="N825" s="18">
        <f>3630000+3300000</f>
        <v>6930000</v>
      </c>
      <c r="O825" s="22" t="s">
        <v>1794</v>
      </c>
      <c r="Q825" s="13">
        <v>7709</v>
      </c>
      <c r="R825" s="13" t="s">
        <v>1761</v>
      </c>
      <c r="S825" s="13" t="s">
        <v>819</v>
      </c>
      <c r="T825" s="13" t="s">
        <v>16</v>
      </c>
      <c r="U825" s="17">
        <f t="shared" si="27"/>
        <v>11220000</v>
      </c>
    </row>
    <row r="826" spans="1:21" x14ac:dyDescent="0.3">
      <c r="A826" s="13">
        <v>113</v>
      </c>
      <c r="B826" s="13" t="str">
        <f>+VLOOKUP(A826,'[1]PA 2023'!$A$8:$E$84,5)</f>
        <v>Formular e implementar 1 política pública para habitante de calle.</v>
      </c>
      <c r="C826" s="14">
        <v>2020680010050</v>
      </c>
      <c r="D826" s="14" t="str">
        <f>+VLOOKUP(C826,'[1]PA 2023'!$G$8:$H$84,2,FALSE)</f>
        <v>DESARROLLO DE ACCIONES ENCAMINADAS A GENERAR ATENCIÓN INTEGRAL HACIA LA POBLACIÓN HABITANTES EN SITUACIÓN DE CALLE DEL MUNICIPIO DE BUCARAMANGA</v>
      </c>
      <c r="E826" s="13" t="s">
        <v>766</v>
      </c>
      <c r="F826" s="15">
        <v>2942</v>
      </c>
      <c r="G826" s="21" t="s">
        <v>43</v>
      </c>
      <c r="H826" s="21" t="s">
        <v>36</v>
      </c>
      <c r="I826" s="13" t="s">
        <v>767</v>
      </c>
      <c r="J826" s="13" t="s">
        <v>1759</v>
      </c>
      <c r="K826" s="16">
        <v>45105</v>
      </c>
      <c r="L826" s="17">
        <v>27500000</v>
      </c>
      <c r="M826" s="17">
        <v>27500000</v>
      </c>
      <c r="N826" s="18">
        <f>5000000+500000+5000000</f>
        <v>10500000</v>
      </c>
      <c r="O826" s="22" t="s">
        <v>1795</v>
      </c>
      <c r="Q826" s="13">
        <v>7710</v>
      </c>
      <c r="R826" s="13" t="s">
        <v>1761</v>
      </c>
      <c r="S826" s="13" t="s">
        <v>771</v>
      </c>
      <c r="T826" s="13" t="s">
        <v>16</v>
      </c>
      <c r="U826" s="17">
        <f t="shared" si="27"/>
        <v>17000000</v>
      </c>
    </row>
    <row r="827" spans="1:21" x14ac:dyDescent="0.3">
      <c r="A827" s="13">
        <v>283</v>
      </c>
      <c r="B827" s="13" t="str">
        <f>+VLOOKUP(A827,'[1]PA 2023'!$A$8:$E$84,5)</f>
        <v>Formular e implementar 1 estrategia que fortalezca la democracia participativa (Ley 1757 de 2015).</v>
      </c>
      <c r="C827" s="14">
        <v>2022680010029</v>
      </c>
      <c r="D827" s="14" t="str">
        <f>+VLOOKUP(C827,'[1]PA 2023'!$G$8:$H$84,2,FALSE)</f>
        <v>FORTALECIMIENTO DE LA PARTICIPACIÓN CIUDADANA EN EL MUNICIPIO DE BUCARAMANGA</v>
      </c>
      <c r="E827" s="13" t="s">
        <v>1796</v>
      </c>
      <c r="F827" s="15">
        <v>2923</v>
      </c>
      <c r="G827" s="21" t="s">
        <v>43</v>
      </c>
      <c r="H827" s="21" t="s">
        <v>36</v>
      </c>
      <c r="I827" s="13" t="s">
        <v>1024</v>
      </c>
      <c r="J827" s="13" t="s">
        <v>1505</v>
      </c>
      <c r="K827" s="16">
        <v>45105</v>
      </c>
      <c r="L827" s="17">
        <v>15000000</v>
      </c>
      <c r="M827" s="17">
        <v>15000000</v>
      </c>
      <c r="N827" s="18">
        <f>3300000+3000000</f>
        <v>6300000</v>
      </c>
      <c r="O827" s="22" t="s">
        <v>1797</v>
      </c>
      <c r="Q827" s="13">
        <v>7740</v>
      </c>
      <c r="R827" s="13" t="s">
        <v>1462</v>
      </c>
      <c r="S827" s="13" t="s">
        <v>1026</v>
      </c>
      <c r="T827" s="13" t="s">
        <v>16</v>
      </c>
      <c r="U827" s="17">
        <f t="shared" si="27"/>
        <v>8700000</v>
      </c>
    </row>
    <row r="828" spans="1:21" x14ac:dyDescent="0.3">
      <c r="A828" s="13">
        <v>206</v>
      </c>
      <c r="B828" s="13" t="str">
        <f>+VLOOKUP(A828,'[1]PA 2023'!$A$8:$E$84,5)</f>
        <v>Mantener el Plan General de Asistencia Técnica.</v>
      </c>
      <c r="C828" s="14">
        <v>2020680010123</v>
      </c>
      <c r="D828" s="14" t="str">
        <f>+VLOOKUP(C828,'[1]PA 2023'!$G$8:$H$84,2,FALSE)</f>
        <v>FORTALECIMIENTO DE LA PRODUCTIVIDAD Y COMPETITIVIDAD AGROPECUARIA EN EL SECTOR RURAL DEL MUNICIPIO DE BUCARAMANGA</v>
      </c>
      <c r="E828" s="13" t="s">
        <v>791</v>
      </c>
      <c r="F828" s="15">
        <v>2982</v>
      </c>
      <c r="G828" s="21" t="s">
        <v>43</v>
      </c>
      <c r="H828" s="21" t="s">
        <v>36</v>
      </c>
      <c r="I828" s="13" t="s">
        <v>792</v>
      </c>
      <c r="J828" s="13" t="s">
        <v>1685</v>
      </c>
      <c r="K828" s="16">
        <v>45105</v>
      </c>
      <c r="L828" s="17">
        <v>19250000</v>
      </c>
      <c r="M828" s="17">
        <v>19250000</v>
      </c>
      <c r="N828" s="18">
        <f>3733333.33+3500000</f>
        <v>7233333.3300000001</v>
      </c>
      <c r="O828" s="22" t="s">
        <v>1798</v>
      </c>
      <c r="Q828" s="13">
        <v>7741</v>
      </c>
      <c r="R828" s="13" t="s">
        <v>1687</v>
      </c>
      <c r="S828" s="13" t="s">
        <v>794</v>
      </c>
      <c r="T828" s="13" t="s">
        <v>16</v>
      </c>
      <c r="U828" s="17">
        <f t="shared" si="27"/>
        <v>12016666.67</v>
      </c>
    </row>
    <row r="829" spans="1:21" x14ac:dyDescent="0.3">
      <c r="A829" s="13">
        <v>117</v>
      </c>
      <c r="B829" s="13" t="str">
        <f>+VLOOKUP(A829,'[1]PA 2023'!$A$8:$E$84,5)</f>
        <v>Formular e implementar 1 estrategia de orientación ocupacional, aprovechamiento del tiempo libre, formación y esparcimiento cultural y actividades que mejoren la calidad de vida dirigidas a personas con discapacidad.</v>
      </c>
      <c r="C829" s="14">
        <v>2020680010121</v>
      </c>
      <c r="D829" s="14" t="str">
        <f>+VLOOKUP(C829,'[1]PA 2023'!$G$8:$H$84,2,FALSE)</f>
        <v>APOYO A LA OPERATIVIDAD DE LOS PROGRAMAS DE ATENCIÓN INTEGRAL A LAS PERSONAS CON DISCAPACIDAD. FAMILIARES Y/O CUIDADORES DEL MUNICIPIO DE BUCARAMANGA</v>
      </c>
      <c r="E829" s="13" t="s">
        <v>1799</v>
      </c>
      <c r="F829" s="15">
        <v>2925</v>
      </c>
      <c r="G829" s="21" t="s">
        <v>43</v>
      </c>
      <c r="H829" s="21" t="s">
        <v>36</v>
      </c>
      <c r="I829" s="13" t="s">
        <v>309</v>
      </c>
      <c r="J829" s="13" t="s">
        <v>1624</v>
      </c>
      <c r="K829" s="16">
        <v>45105</v>
      </c>
      <c r="L829" s="17">
        <v>27550000</v>
      </c>
      <c r="M829" s="17">
        <v>27550000</v>
      </c>
      <c r="N829" s="18">
        <f>6600000+3550000</f>
        <v>10150000</v>
      </c>
      <c r="O829" s="22" t="s">
        <v>1800</v>
      </c>
      <c r="Q829" s="13">
        <v>7742</v>
      </c>
      <c r="R829" s="23" t="s">
        <v>1626</v>
      </c>
      <c r="S829" s="13" t="s">
        <v>311</v>
      </c>
      <c r="T829" s="13" t="s">
        <v>16</v>
      </c>
      <c r="U829" s="17">
        <f t="shared" si="27"/>
        <v>17400000</v>
      </c>
    </row>
    <row r="830" spans="1:21" x14ac:dyDescent="0.3">
      <c r="A830" s="13">
        <v>117</v>
      </c>
      <c r="B830" s="13" t="str">
        <f>+VLOOKUP(A830,'[1]PA 2023'!$A$8:$E$84,5)</f>
        <v>Formular e implementar 1 estrategia de orientación ocupacional, aprovechamiento del tiempo libre, formación y esparcimiento cultural y actividades que mejoren la calidad de vida dirigidas a personas con discapacidad.</v>
      </c>
      <c r="C830" s="14">
        <v>2020680010121</v>
      </c>
      <c r="D830" s="14" t="str">
        <f>+VLOOKUP(C830,'[1]PA 2023'!$G$8:$H$84,2,FALSE)</f>
        <v>APOYO A LA OPERATIVIDAD DE LOS PROGRAMAS DE ATENCIÓN INTEGRAL A LAS PERSONAS CON DISCAPACIDAD. FAMILIARES Y/O CUIDADORES DEL MUNICIPIO DE BUCARAMANGA</v>
      </c>
      <c r="E830" s="13" t="s">
        <v>1799</v>
      </c>
      <c r="F830" s="15">
        <v>2925</v>
      </c>
      <c r="G830" s="21" t="s">
        <v>43</v>
      </c>
      <c r="H830" s="21" t="s">
        <v>36</v>
      </c>
      <c r="I830" s="13" t="s">
        <v>309</v>
      </c>
      <c r="J830" s="13" t="s">
        <v>207</v>
      </c>
      <c r="K830" s="16">
        <v>45105</v>
      </c>
      <c r="L830" s="17">
        <v>2450000</v>
      </c>
      <c r="M830" s="17">
        <v>2450000</v>
      </c>
      <c r="N830" s="18">
        <v>2450000</v>
      </c>
      <c r="O830" s="22" t="s">
        <v>1800</v>
      </c>
      <c r="Q830" s="13">
        <v>7742</v>
      </c>
      <c r="R830" s="23" t="s">
        <v>193</v>
      </c>
      <c r="S830" s="13" t="s">
        <v>311</v>
      </c>
      <c r="T830" s="13" t="s">
        <v>16</v>
      </c>
      <c r="U830" s="17">
        <f t="shared" si="27"/>
        <v>0</v>
      </c>
    </row>
    <row r="831" spans="1:21" x14ac:dyDescent="0.3">
      <c r="A831" s="13">
        <v>72</v>
      </c>
      <c r="B831" s="13" t="str">
        <f>+VLOOKUP(A831,'[1]PA 2023'!$A$8:$E$84,5)</f>
        <v>Implementar 4 iniciativas que promueva la participación activa de niños y niñas desde la primera infancia en espacios de interés privados y públicos en los que se fortalezcan  habilidades para la vida, preparación para el proyecto de vida y el ejercicio de sus derechos.</v>
      </c>
      <c r="C831" s="14">
        <v>2021680010003</v>
      </c>
      <c r="D831" s="14" t="str">
        <f>+VLOOKUP(C831,'[1]PA 2023'!$G$8:$H$84,2,FALSE)</f>
        <v>IMPLEMENTACIÓN DE ESTRATEGIAS PSICOPEDAGÓGICAS PARA LA DISMINUCIÓN DE FACTORES DE RIESGO EN NIÑOS, NIÑAS Y ADOLESCENTES EN EL MUNICIPIO DE BUCARAMANGA</v>
      </c>
      <c r="E831" s="13" t="s">
        <v>1801</v>
      </c>
      <c r="F831" s="15">
        <v>2945</v>
      </c>
      <c r="G831" s="21" t="s">
        <v>43</v>
      </c>
      <c r="H831" s="21" t="s">
        <v>36</v>
      </c>
      <c r="I831" s="13" t="s">
        <v>297</v>
      </c>
      <c r="J831" s="13" t="s">
        <v>1578</v>
      </c>
      <c r="K831" s="16">
        <v>45105</v>
      </c>
      <c r="L831" s="17">
        <v>15000000</v>
      </c>
      <c r="M831" s="17">
        <v>15000000</v>
      </c>
      <c r="N831" s="18">
        <f>3300000+3000000</f>
        <v>6300000</v>
      </c>
      <c r="O831" s="22" t="s">
        <v>1802</v>
      </c>
      <c r="Q831" s="13">
        <v>7743</v>
      </c>
      <c r="R831" s="13" t="s">
        <v>1580</v>
      </c>
      <c r="S831" s="13" t="s">
        <v>299</v>
      </c>
      <c r="T831" s="13" t="s">
        <v>16</v>
      </c>
      <c r="U831" s="17">
        <f t="shared" si="27"/>
        <v>8700000</v>
      </c>
    </row>
    <row r="832" spans="1:21" x14ac:dyDescent="0.3">
      <c r="A832" s="13">
        <v>99</v>
      </c>
      <c r="B832" s="13" t="str">
        <f>+VLOOKUP(A832,'[1]PA 2023'!$A$8:$E$84,5)</f>
        <v>Formular e implementar 1 estrategia para brindar asistencia social a la población afectada por las diferentes emergencias y particularmente COVID-19.</v>
      </c>
      <c r="C832" s="14">
        <v>2022680010036</v>
      </c>
      <c r="D832" s="14" t="str">
        <f>+VLOOKUP(C832,'[1]PA 2023'!$G$8:$H$84,2,FALSE)</f>
        <v>IMPLEMENTACIÓN DE ACCIONES DE ASISTENCIA SOCIAL ORIENTADAS A LA POBLACIÓN AFECTADA POR LAS DIFERENTES EMERGENCIAS SOCIALES, NATURALES, SANITARIAS ANTRÓPICAS O EN SITUACIÓN DE VULNERABILIDAD EN EL MUNICIPIO DE BUCARAMANGA</v>
      </c>
      <c r="E832" s="13" t="s">
        <v>1803</v>
      </c>
      <c r="F832" s="15">
        <v>2947</v>
      </c>
      <c r="G832" s="22" t="s">
        <v>35</v>
      </c>
      <c r="H832" s="21" t="s">
        <v>36</v>
      </c>
      <c r="I832" s="13" t="s">
        <v>1315</v>
      </c>
      <c r="J832" s="13" t="s">
        <v>538</v>
      </c>
      <c r="K832" s="16">
        <v>45105</v>
      </c>
      <c r="L832" s="17">
        <v>9900000</v>
      </c>
      <c r="M832" s="17">
        <v>9900000</v>
      </c>
      <c r="N832" s="18">
        <f>1980000+1800000</f>
        <v>3780000</v>
      </c>
      <c r="O832" s="22" t="s">
        <v>1804</v>
      </c>
      <c r="Q832" s="13">
        <v>7744</v>
      </c>
      <c r="R832" s="13" t="s">
        <v>540</v>
      </c>
      <c r="S832" s="13" t="s">
        <v>1317</v>
      </c>
      <c r="T832" s="13" t="s">
        <v>16</v>
      </c>
      <c r="U832" s="17">
        <f t="shared" si="27"/>
        <v>6120000</v>
      </c>
    </row>
    <row r="833" spans="1:21" x14ac:dyDescent="0.3">
      <c r="A833" s="13">
        <v>105</v>
      </c>
      <c r="B833" s="13" t="str">
        <f>+VLOOKUP(A833,'[1]PA 2023'!$A$8:$E$84,5)</f>
        <v>Mantener el Centro Integral de la Mujer a fin de garantizar el fortalecimiento de los procesos de atención y empoderamiento femenino.</v>
      </c>
      <c r="C833" s="14">
        <v>2023680010015</v>
      </c>
      <c r="D833" s="14" t="str">
        <f>+VLOOKUP(C833,'[1]PA 2023'!$G$8:$H$84,2,FALSE)</f>
        <v>FORTALECIMIENTO DE ACCIONES ORIENTADAS AL CIERRE DE BRECHAS DE GÉNERO PARA MUJERES Y POBLACIÓN CON ORIENTACIONES SEXUALES E IDENTIDADES DE GÉNERO DIVERSAS DEL MUNICIPIO DE BUCARAMANGA</v>
      </c>
      <c r="E833" s="13" t="s">
        <v>501</v>
      </c>
      <c r="F833" s="15">
        <v>2946</v>
      </c>
      <c r="G833" s="21" t="s">
        <v>43</v>
      </c>
      <c r="H833" s="21" t="s">
        <v>36</v>
      </c>
      <c r="I833" s="13" t="s">
        <v>502</v>
      </c>
      <c r="J833" s="13" t="s">
        <v>1488</v>
      </c>
      <c r="K833" s="16">
        <v>45105</v>
      </c>
      <c r="L833" s="17">
        <v>17500000</v>
      </c>
      <c r="M833" s="17">
        <v>17500000</v>
      </c>
      <c r="N833" s="18">
        <f>3850000+3500000</f>
        <v>7350000</v>
      </c>
      <c r="O833" s="22" t="s">
        <v>1805</v>
      </c>
      <c r="Q833" s="13">
        <v>7745</v>
      </c>
      <c r="R833" s="13" t="s">
        <v>1490</v>
      </c>
      <c r="S833" s="13" t="s">
        <v>504</v>
      </c>
      <c r="T833" s="13" t="s">
        <v>16</v>
      </c>
      <c r="U833" s="17">
        <f t="shared" si="27"/>
        <v>10150000</v>
      </c>
    </row>
    <row r="834" spans="1:21" x14ac:dyDescent="0.3">
      <c r="A834" s="13">
        <v>285</v>
      </c>
      <c r="B834" s="13" t="str">
        <f>+VLOOKUP(A834,'[1]PA 2023'!$A$8:$E$84,5)</f>
        <v>Mantener en funcionamiento el 100% de los salones comunales que hacen parte del programa Ágoras.</v>
      </c>
      <c r="C834" s="14">
        <v>2022680010029</v>
      </c>
      <c r="D834" s="14" t="str">
        <f>+VLOOKUP(C834,'[1]PA 2023'!$G$8:$H$84,2,FALSE)</f>
        <v>FORTALECIMIENTO DE LA PARTICIPACIÓN CIUDADANA EN EL MUNICIPIO DE BUCARAMANGA</v>
      </c>
      <c r="E834" s="13" t="s">
        <v>1681</v>
      </c>
      <c r="F834" s="15">
        <v>2988</v>
      </c>
      <c r="G834" s="21" t="s">
        <v>35</v>
      </c>
      <c r="H834" s="21" t="s">
        <v>36</v>
      </c>
      <c r="I834" s="13" t="s">
        <v>1049</v>
      </c>
      <c r="J834" s="13" t="s">
        <v>1505</v>
      </c>
      <c r="K834" s="16">
        <v>45105</v>
      </c>
      <c r="L834" s="17">
        <v>9000000</v>
      </c>
      <c r="M834" s="17">
        <v>9000000</v>
      </c>
      <c r="N834" s="18">
        <f>1920000+1800000</f>
        <v>3720000</v>
      </c>
      <c r="O834" s="22" t="s">
        <v>1806</v>
      </c>
      <c r="Q834" s="13">
        <v>7746</v>
      </c>
      <c r="R834" s="13" t="s">
        <v>1462</v>
      </c>
      <c r="S834" s="13" t="s">
        <v>1051</v>
      </c>
      <c r="T834" s="13" t="s">
        <v>16</v>
      </c>
      <c r="U834" s="17">
        <f t="shared" si="27"/>
        <v>5280000</v>
      </c>
    </row>
    <row r="835" spans="1:21" x14ac:dyDescent="0.3">
      <c r="A835" s="13">
        <v>285</v>
      </c>
      <c r="B835" s="13" t="str">
        <f>+VLOOKUP(A835,'[1]PA 2023'!$A$8:$E$84,5)</f>
        <v>Mantener en funcionamiento el 100% de los salones comunales que hacen parte del programa Ágoras.</v>
      </c>
      <c r="C835" s="14">
        <v>2022680010029</v>
      </c>
      <c r="D835" s="14" t="str">
        <f>+VLOOKUP(C835,'[1]PA 2023'!$G$8:$H$84,2,FALSE)</f>
        <v>FORTALECIMIENTO DE LA PARTICIPACIÓN CIUDADANA EN EL MUNICIPIO DE BUCARAMANGA</v>
      </c>
      <c r="E835" s="13" t="s">
        <v>1027</v>
      </c>
      <c r="F835" s="15">
        <v>2989</v>
      </c>
      <c r="G835" s="21" t="s">
        <v>35</v>
      </c>
      <c r="H835" s="21" t="s">
        <v>36</v>
      </c>
      <c r="I835" s="13" t="s">
        <v>1040</v>
      </c>
      <c r="J835" s="13" t="s">
        <v>1505</v>
      </c>
      <c r="K835" s="16">
        <v>45105</v>
      </c>
      <c r="L835" s="17">
        <v>9000000</v>
      </c>
      <c r="M835" s="17">
        <v>9000000</v>
      </c>
      <c r="N835" s="18">
        <f>1920000+1800000</f>
        <v>3720000</v>
      </c>
      <c r="O835" s="22" t="s">
        <v>1807</v>
      </c>
      <c r="Q835" s="13">
        <v>7747</v>
      </c>
      <c r="R835" s="13" t="s">
        <v>1462</v>
      </c>
      <c r="S835" s="13" t="s">
        <v>1042</v>
      </c>
      <c r="T835" s="13" t="s">
        <v>16</v>
      </c>
      <c r="U835" s="17">
        <f t="shared" si="27"/>
        <v>5280000</v>
      </c>
    </row>
    <row r="836" spans="1:21" x14ac:dyDescent="0.3">
      <c r="A836" s="13">
        <v>205</v>
      </c>
      <c r="B836" s="13" t="str">
        <f>+VLOOKUP(A836,'[1]PA 2023'!$A$8:$E$84,5)</f>
        <v>Mantener 4 mercadillos campesinos.</v>
      </c>
      <c r="C836" s="14">
        <v>2020680010123</v>
      </c>
      <c r="D836" s="14" t="str">
        <f>+VLOOKUP(C836,'[1]PA 2023'!$G$8:$H$84,2,FALSE)</f>
        <v>FORTALECIMIENTO DE LA PRODUCTIVIDAD Y COMPETITIVIDAD AGROPECUARIA EN EL SECTOR RURAL DEL MUNICIPIO DE BUCARAMANGA</v>
      </c>
      <c r="E836" s="13" t="s">
        <v>1808</v>
      </c>
      <c r="F836" s="15">
        <v>2981</v>
      </c>
      <c r="G836" s="22" t="s">
        <v>35</v>
      </c>
      <c r="H836" s="21" t="s">
        <v>36</v>
      </c>
      <c r="I836" s="13" t="s">
        <v>821</v>
      </c>
      <c r="J836" s="13" t="s">
        <v>1685</v>
      </c>
      <c r="K836" s="16">
        <v>45105</v>
      </c>
      <c r="L836" s="17">
        <v>12100000</v>
      </c>
      <c r="M836" s="17">
        <v>12100000</v>
      </c>
      <c r="N836" s="18">
        <f>2346666.67+2200000</f>
        <v>4546666.67</v>
      </c>
      <c r="O836" s="22" t="s">
        <v>1809</v>
      </c>
      <c r="Q836" s="13">
        <v>7748</v>
      </c>
      <c r="R836" s="13" t="s">
        <v>1687</v>
      </c>
      <c r="S836" s="13" t="s">
        <v>823</v>
      </c>
      <c r="T836" s="13" t="s">
        <v>16</v>
      </c>
      <c r="U836" s="17">
        <f t="shared" si="27"/>
        <v>7553333.3300000001</v>
      </c>
    </row>
    <row r="837" spans="1:21" x14ac:dyDescent="0.3">
      <c r="A837" s="13">
        <v>101</v>
      </c>
      <c r="B837" s="13" t="str">
        <f>+VLOOKUP(A837,'[1]PA 2023'!$A$8:$E$84,5)</f>
        <v>Atender y mantener de manera integral desde el componente psicosociojurídico y social a 600 mujeres, niñas y personas considerando los enfoques diferenciales y diversidad sexual.</v>
      </c>
      <c r="C837" s="14">
        <v>2023680010015</v>
      </c>
      <c r="D837" s="14" t="str">
        <f>+VLOOKUP(C837,'[1]PA 2023'!$G$8:$H$84,2,FALSE)</f>
        <v>FORTALECIMIENTO DE ACCIONES ORIENTADAS AL CIERRE DE BRECHAS DE GÉNERO PARA MUJERES Y POBLACIÓN CON ORIENTACIONES SEXUALES E IDENTIDADES DE GÉNERO DIVERSAS DEL MUNICIPIO DE BUCARAMANGA</v>
      </c>
      <c r="E837" s="13" t="s">
        <v>1810</v>
      </c>
      <c r="F837" s="15">
        <v>2854</v>
      </c>
      <c r="G837" s="21" t="s">
        <v>43</v>
      </c>
      <c r="H837" s="21" t="s">
        <v>36</v>
      </c>
      <c r="I837" s="13" t="s">
        <v>498</v>
      </c>
      <c r="J837" s="13" t="s">
        <v>1488</v>
      </c>
      <c r="K837" s="16">
        <v>45105</v>
      </c>
      <c r="L837" s="17">
        <v>20000000</v>
      </c>
      <c r="M837" s="17">
        <v>20000000</v>
      </c>
      <c r="N837" s="18">
        <f>4400000+4000000</f>
        <v>8400000</v>
      </c>
      <c r="O837" s="22" t="s">
        <v>1811</v>
      </c>
      <c r="Q837" s="13">
        <v>7751</v>
      </c>
      <c r="R837" s="13" t="s">
        <v>1490</v>
      </c>
      <c r="S837" s="13" t="s">
        <v>500</v>
      </c>
      <c r="T837" s="13" t="s">
        <v>16</v>
      </c>
      <c r="U837" s="17">
        <f t="shared" si="27"/>
        <v>11600000</v>
      </c>
    </row>
    <row r="838" spans="1:21" x14ac:dyDescent="0.3">
      <c r="A838" s="13">
        <v>99</v>
      </c>
      <c r="B838" s="13" t="str">
        <f>+VLOOKUP(A838,'[1]PA 2023'!$A$8:$E$84,5)</f>
        <v>Formular e implementar 1 estrategia para brindar asistencia social a la población afectada por las diferentes emergencias y particularmente COVID-19.</v>
      </c>
      <c r="C838" s="14">
        <v>2022680010036</v>
      </c>
      <c r="D838" s="14" t="str">
        <f>+VLOOKUP(C838,'[1]PA 2023'!$G$8:$H$84,2,FALSE)</f>
        <v>IMPLEMENTACIÓN DE ACCIONES DE ASISTENCIA SOCIAL ORIENTADAS A LA POBLACIÓN AFECTADA POR LAS DIFERENTES EMERGENCIAS SOCIALES, NATURALES, SANITARIAS ANTRÓPICAS O EN SITUACIÓN DE VULNERABILIDAD EN EL MUNICIPIO DE BUCARAMANGA</v>
      </c>
      <c r="E838" s="13" t="s">
        <v>1812</v>
      </c>
      <c r="F838" s="15">
        <v>2918</v>
      </c>
      <c r="G838" s="21" t="s">
        <v>35</v>
      </c>
      <c r="H838" s="21" t="s">
        <v>36</v>
      </c>
      <c r="I838" s="13" t="s">
        <v>1076</v>
      </c>
      <c r="J838" s="13" t="s">
        <v>538</v>
      </c>
      <c r="K838" s="16">
        <v>45105</v>
      </c>
      <c r="L838" s="17">
        <v>9900000</v>
      </c>
      <c r="M838" s="17">
        <v>9900000</v>
      </c>
      <c r="N838" s="18">
        <f>1980000+1800000</f>
        <v>3780000</v>
      </c>
      <c r="O838" s="22" t="s">
        <v>1813</v>
      </c>
      <c r="Q838" s="13">
        <v>7752</v>
      </c>
      <c r="R838" s="13" t="s">
        <v>540</v>
      </c>
      <c r="S838" s="13" t="s">
        <v>1078</v>
      </c>
      <c r="T838" s="13" t="s">
        <v>16</v>
      </c>
      <c r="U838" s="17">
        <f t="shared" si="27"/>
        <v>6120000</v>
      </c>
    </row>
    <row r="839" spans="1:21" x14ac:dyDescent="0.3">
      <c r="A839" s="13">
        <v>94</v>
      </c>
      <c r="B839" s="13" t="str">
        <f>+VLOOKUP(A839,'[1]PA 2023'!$A$8:$E$84,5)</f>
        <v>Mantener el servicio atención primaria en salud, atención psicosocial que promueva la salud física, salud mental y el bienestar social de las personas mayores en los centros vida.</v>
      </c>
      <c r="C839" s="14">
        <v>2020680010040</v>
      </c>
      <c r="D839" s="14" t="str">
        <f>+VLOOKUP(C839,'[1]PA 2023'!$G$8:$H$84,2,FALSE)</f>
        <v>IMPLEMENTACIÓN DE ACCIONES TENDIENTES A MEJORAR LAS CONDICIONES DE LOS ADULTOS MAYORES DEL MUNICIPIO DE BUCARAMANGA</v>
      </c>
      <c r="E839" s="13" t="s">
        <v>1814</v>
      </c>
      <c r="F839" s="15">
        <v>162</v>
      </c>
      <c r="G839" s="22" t="s">
        <v>1815</v>
      </c>
      <c r="H839" s="21" t="s">
        <v>36</v>
      </c>
      <c r="I839" s="13" t="s">
        <v>1816</v>
      </c>
      <c r="J839" s="13" t="s">
        <v>1582</v>
      </c>
      <c r="K839" s="16">
        <v>45105</v>
      </c>
      <c r="L839" s="17">
        <v>129990000</v>
      </c>
      <c r="M839" s="17">
        <v>129990000</v>
      </c>
      <c r="N839" s="18">
        <v>0</v>
      </c>
      <c r="O839" s="22" t="s">
        <v>1817</v>
      </c>
      <c r="Q839" s="13">
        <v>7757</v>
      </c>
      <c r="R839" s="13" t="s">
        <v>1583</v>
      </c>
      <c r="S839" s="13" t="s">
        <v>1818</v>
      </c>
      <c r="T839" s="13" t="s">
        <v>16</v>
      </c>
      <c r="U839" s="17">
        <f t="shared" si="27"/>
        <v>129990000</v>
      </c>
    </row>
    <row r="840" spans="1:21" x14ac:dyDescent="0.3">
      <c r="A840" s="13">
        <v>283</v>
      </c>
      <c r="B840" s="13" t="str">
        <f>+VLOOKUP(A840,'[1]PA 2023'!$A$8:$E$84,5)</f>
        <v>Formular e implementar 1 estrategia que fortalezca la democracia participativa (Ley 1757 de 2015).</v>
      </c>
      <c r="C840" s="14">
        <v>2022680010029</v>
      </c>
      <c r="D840" s="14" t="str">
        <f>+VLOOKUP(C840,'[1]PA 2023'!$G$8:$H$84,2,FALSE)</f>
        <v>FORTALECIMIENTO DE LA PARTICIPACIÓN CIUDADANA EN EL MUNICIPIO DE BUCARAMANGA</v>
      </c>
      <c r="E840" s="13" t="s">
        <v>1637</v>
      </c>
      <c r="F840" s="15">
        <v>3052</v>
      </c>
      <c r="G840" s="21" t="s">
        <v>43</v>
      </c>
      <c r="H840" s="21" t="s">
        <v>36</v>
      </c>
      <c r="I840" s="13" t="s">
        <v>1249</v>
      </c>
      <c r="J840" s="13" t="s">
        <v>1505</v>
      </c>
      <c r="K840" s="16">
        <v>45105</v>
      </c>
      <c r="L840" s="17">
        <v>15000000</v>
      </c>
      <c r="M840" s="17">
        <v>15000000</v>
      </c>
      <c r="N840" s="18">
        <f>3200000+3000000</f>
        <v>6200000</v>
      </c>
      <c r="O840" s="22" t="s">
        <v>1819</v>
      </c>
      <c r="Q840" s="13">
        <v>7774</v>
      </c>
      <c r="R840" s="13" t="s">
        <v>1462</v>
      </c>
      <c r="S840" s="13" t="s">
        <v>1251</v>
      </c>
      <c r="T840" s="13" t="s">
        <v>16</v>
      </c>
      <c r="U840" s="17">
        <f t="shared" si="27"/>
        <v>8800000</v>
      </c>
    </row>
    <row r="841" spans="1:21" x14ac:dyDescent="0.3">
      <c r="A841" s="13">
        <v>117</v>
      </c>
      <c r="B841" s="13" t="str">
        <f>+VLOOKUP(A841,'[1]PA 2023'!$A$8:$E$84,5)</f>
        <v>Formular e implementar 1 estrategia de orientación ocupacional, aprovechamiento del tiempo libre, formación y esparcimiento cultural y actividades que mejoren la calidad de vida dirigidas a personas con discapacidad.</v>
      </c>
      <c r="C841" s="14">
        <v>2020680010121</v>
      </c>
      <c r="D841" s="14" t="str">
        <f>+VLOOKUP(C841,'[1]PA 2023'!$G$8:$H$84,2,FALSE)</f>
        <v>APOYO A LA OPERATIVIDAD DE LOS PROGRAMAS DE ATENCIÓN INTEGRAL A LAS PERSONAS CON DISCAPACIDAD. FAMILIARES Y/O CUIDADORES DEL MUNICIPIO DE BUCARAMANGA</v>
      </c>
      <c r="E841" s="13" t="s">
        <v>1820</v>
      </c>
      <c r="F841" s="15">
        <v>3055</v>
      </c>
      <c r="G841" s="21" t="s">
        <v>43</v>
      </c>
      <c r="H841" s="21" t="s">
        <v>36</v>
      </c>
      <c r="I841" s="13" t="s">
        <v>1821</v>
      </c>
      <c r="J841" s="13" t="s">
        <v>1822</v>
      </c>
      <c r="K841" s="16">
        <v>45105</v>
      </c>
      <c r="L841" s="17">
        <v>15000000</v>
      </c>
      <c r="M841" s="17">
        <v>15000000</v>
      </c>
      <c r="N841" s="18">
        <f>3200000+3000000</f>
        <v>6200000</v>
      </c>
      <c r="O841" s="22" t="s">
        <v>1823</v>
      </c>
      <c r="Q841" s="13">
        <v>7775</v>
      </c>
      <c r="R841" s="13" t="s">
        <v>1626</v>
      </c>
      <c r="S841" s="13" t="s">
        <v>1824</v>
      </c>
      <c r="T841" s="13" t="s">
        <v>16</v>
      </c>
      <c r="U841" s="17">
        <f t="shared" si="27"/>
        <v>8800000</v>
      </c>
    </row>
    <row r="842" spans="1:21" x14ac:dyDescent="0.3">
      <c r="A842" s="13">
        <v>206</v>
      </c>
      <c r="B842" s="13" t="str">
        <f>+VLOOKUP(A842,'[1]PA 2023'!$A$8:$E$84,5)</f>
        <v>Mantener el Plan General de Asistencia Técnica.</v>
      </c>
      <c r="C842" s="14">
        <v>2020680010123</v>
      </c>
      <c r="D842" s="14" t="str">
        <f>+VLOOKUP(C842,'[1]PA 2023'!$G$8:$H$84,2,FALSE)</f>
        <v>FORTALECIMIENTO DE LA PRODUCTIVIDAD Y COMPETITIVIDAD AGROPECUARIA EN EL SECTOR RURAL DEL MUNICIPIO DE BUCARAMANGA</v>
      </c>
      <c r="E842" s="13" t="s">
        <v>1701</v>
      </c>
      <c r="F842" s="15">
        <v>3057</v>
      </c>
      <c r="G842" s="22" t="s">
        <v>35</v>
      </c>
      <c r="H842" s="21" t="s">
        <v>36</v>
      </c>
      <c r="I842" s="13" t="s">
        <v>1061</v>
      </c>
      <c r="J842" s="13" t="s">
        <v>1685</v>
      </c>
      <c r="K842" s="16">
        <v>45105</v>
      </c>
      <c r="L842" s="17">
        <v>11000000</v>
      </c>
      <c r="M842" s="17">
        <v>11000000</v>
      </c>
      <c r="N842" s="18">
        <f>2133333.33+2000000</f>
        <v>4133333.33</v>
      </c>
      <c r="O842" s="22" t="s">
        <v>1825</v>
      </c>
      <c r="Q842" s="13">
        <v>7776</v>
      </c>
      <c r="R842" s="13" t="s">
        <v>1687</v>
      </c>
      <c r="S842" s="13" t="s">
        <v>1063</v>
      </c>
      <c r="T842" s="13" t="s">
        <v>16</v>
      </c>
      <c r="U842" s="17">
        <f t="shared" si="27"/>
        <v>6866666.6699999999</v>
      </c>
    </row>
    <row r="843" spans="1:21" x14ac:dyDescent="0.3">
      <c r="A843" s="13">
        <v>206</v>
      </c>
      <c r="B843" s="13" t="str">
        <f>+VLOOKUP(A843,'[1]PA 2023'!$A$8:$E$84,5)</f>
        <v>Mantener el Plan General de Asistencia Técnica.</v>
      </c>
      <c r="C843" s="14">
        <v>2020680010123</v>
      </c>
      <c r="D843" s="14" t="str">
        <f>+VLOOKUP(C843,'[1]PA 2023'!$G$8:$H$84,2,FALSE)</f>
        <v>FORTALECIMIENTO DE LA PRODUCTIVIDAD Y COMPETITIVIDAD AGROPECUARIA EN EL SECTOR RURAL DEL MUNICIPIO DE BUCARAMANGA</v>
      </c>
      <c r="E843" s="13" t="s">
        <v>1826</v>
      </c>
      <c r="F843" s="15">
        <v>3056</v>
      </c>
      <c r="G843" s="22" t="s">
        <v>35</v>
      </c>
      <c r="H843" s="21" t="s">
        <v>36</v>
      </c>
      <c r="I843" s="13" t="s">
        <v>1101</v>
      </c>
      <c r="J843" s="13" t="s">
        <v>1685</v>
      </c>
      <c r="K843" s="16">
        <v>45105</v>
      </c>
      <c r="L843" s="17">
        <v>11000000</v>
      </c>
      <c r="M843" s="17">
        <v>11000000</v>
      </c>
      <c r="N843" s="18">
        <f>2133333.33+2000000</f>
        <v>4133333.33</v>
      </c>
      <c r="O843" s="22" t="s">
        <v>1827</v>
      </c>
      <c r="Q843" s="13">
        <v>7777</v>
      </c>
      <c r="R843" s="13" t="s">
        <v>1687</v>
      </c>
      <c r="S843" s="13" t="s">
        <v>1103</v>
      </c>
      <c r="T843" s="13" t="s">
        <v>16</v>
      </c>
      <c r="U843" s="17">
        <f t="shared" si="27"/>
        <v>6866666.6699999999</v>
      </c>
    </row>
    <row r="844" spans="1:21" x14ac:dyDescent="0.3">
      <c r="A844" s="13">
        <v>111</v>
      </c>
      <c r="B844" s="13" t="str">
        <f>+VLOOKUP(A844,'[1]PA 2023'!$A$8:$E$84,5)</f>
        <v xml:space="preserve">Mantener la identificación, caracterización y seguimiento de la situación de cada habitante de calle atendido por la Secretaría de Desarrollo Social. </v>
      </c>
      <c r="C844" s="14">
        <v>2020680010050</v>
      </c>
      <c r="D844" s="14" t="str">
        <f>+VLOOKUP(C844,'[1]PA 2023'!$G$8:$H$84,2,FALSE)</f>
        <v>DESARROLLO DE ACCIONES ENCAMINADAS A GENERAR ATENCIÓN INTEGRAL HACIA LA POBLACIÓN HABITANTES EN SITUACIÓN DE CALLE DEL MUNICIPIO DE BUCARAMANGA</v>
      </c>
      <c r="E844" s="13" t="s">
        <v>896</v>
      </c>
      <c r="F844" s="15">
        <v>3058</v>
      </c>
      <c r="G844" s="22" t="s">
        <v>35</v>
      </c>
      <c r="H844" s="21" t="s">
        <v>36</v>
      </c>
      <c r="I844" s="13" t="s">
        <v>897</v>
      </c>
      <c r="J844" s="13" t="s">
        <v>1759</v>
      </c>
      <c r="K844" s="16">
        <v>45105</v>
      </c>
      <c r="L844" s="17">
        <v>12100000</v>
      </c>
      <c r="M844" s="17">
        <v>12100000</v>
      </c>
      <c r="N844" s="18">
        <f>2346666.67+2200000</f>
        <v>4546666.67</v>
      </c>
      <c r="O844" s="22" t="s">
        <v>1828</v>
      </c>
      <c r="Q844" s="13">
        <v>7778</v>
      </c>
      <c r="R844" s="13" t="s">
        <v>1761</v>
      </c>
      <c r="S844" s="13" t="s">
        <v>899</v>
      </c>
      <c r="T844" s="13" t="s">
        <v>16</v>
      </c>
      <c r="U844" s="17">
        <f t="shared" si="27"/>
        <v>7553333.3300000001</v>
      </c>
    </row>
    <row r="845" spans="1:21" x14ac:dyDescent="0.3">
      <c r="A845" s="13">
        <v>283</v>
      </c>
      <c r="B845" s="13" t="str">
        <f>+VLOOKUP(A845,'[1]PA 2023'!$A$8:$E$84,5)</f>
        <v>Formular e implementar 1 estrategia que fortalezca la democracia participativa (Ley 1757 de 2015).</v>
      </c>
      <c r="C845" s="14">
        <v>2022680010029</v>
      </c>
      <c r="D845" s="14" t="str">
        <f>+VLOOKUP(C845,'[1]PA 2023'!$G$8:$H$84,2,FALSE)</f>
        <v>FORTALECIMIENTO DE LA PARTICIPACIÓN CIUDADANA EN EL MUNICIPIO DE BUCARAMANGA</v>
      </c>
      <c r="E845" s="13" t="s">
        <v>1829</v>
      </c>
      <c r="F845" s="15">
        <v>3065</v>
      </c>
      <c r="G845" s="21" t="s">
        <v>35</v>
      </c>
      <c r="H845" s="21" t="s">
        <v>36</v>
      </c>
      <c r="I845" s="13" t="s">
        <v>1203</v>
      </c>
      <c r="J845" s="13" t="s">
        <v>1505</v>
      </c>
      <c r="K845" s="16">
        <v>45105</v>
      </c>
      <c r="L845" s="17">
        <v>9000000</v>
      </c>
      <c r="M845" s="17">
        <v>9000000</v>
      </c>
      <c r="N845" s="18">
        <f>1920000+1800000</f>
        <v>3720000</v>
      </c>
      <c r="O845" s="22" t="s">
        <v>1830</v>
      </c>
      <c r="Q845" s="13">
        <v>7779</v>
      </c>
      <c r="R845" s="13" t="s">
        <v>1462</v>
      </c>
      <c r="S845" s="13" t="s">
        <v>1205</v>
      </c>
      <c r="T845" s="13" t="s">
        <v>16</v>
      </c>
      <c r="U845" s="17">
        <f t="shared" si="27"/>
        <v>5280000</v>
      </c>
    </row>
    <row r="846" spans="1:21" x14ac:dyDescent="0.3">
      <c r="A846" s="13">
        <v>98</v>
      </c>
      <c r="B846" s="13" t="str">
        <f>+VLOOKUP(A846,'[1]PA 2023'!$A$8:$E$84,5)</f>
        <v>Mantener el 100% del apoyo logístico a las familias beneficiadas del programa Familias en Acción.</v>
      </c>
      <c r="C846" s="14">
        <v>2020680010072</v>
      </c>
      <c r="D846" s="14" t="str">
        <f>+VLOOKUP(C846,'[1]PA 2023'!$G$8:$H$84,2,FALSE)</f>
        <v>APOYO A LA OPERATIVIDAD DEL PROGRAMA NACIONAL MÁS FAMILIAS EN ACCIÓN EN EL MUNICIPIO DE BUCARAMANGA</v>
      </c>
      <c r="E846" s="13" t="s">
        <v>723</v>
      </c>
      <c r="F846" s="15">
        <v>3059</v>
      </c>
      <c r="G846" s="22" t="s">
        <v>35</v>
      </c>
      <c r="H846" s="21" t="s">
        <v>36</v>
      </c>
      <c r="I846" s="13" t="s">
        <v>929</v>
      </c>
      <c r="J846" s="13" t="s">
        <v>1466</v>
      </c>
      <c r="K846" s="16">
        <v>45105</v>
      </c>
      <c r="L846" s="17">
        <v>11000000</v>
      </c>
      <c r="M846" s="17">
        <v>11000000</v>
      </c>
      <c r="N846" s="18">
        <f>2133333.33+2000000</f>
        <v>4133333.33</v>
      </c>
      <c r="O846" s="22" t="s">
        <v>1831</v>
      </c>
      <c r="Q846" s="13">
        <v>7780</v>
      </c>
      <c r="R846" s="13" t="s">
        <v>1468</v>
      </c>
      <c r="S846" s="13" t="s">
        <v>931</v>
      </c>
      <c r="T846" s="13" t="s">
        <v>16</v>
      </c>
      <c r="U846" s="17">
        <f t="shared" si="27"/>
        <v>6866666.6699999999</v>
      </c>
    </row>
    <row r="847" spans="1:21" x14ac:dyDescent="0.3">
      <c r="A847" s="13">
        <v>206</v>
      </c>
      <c r="B847" s="13" t="str">
        <f>+VLOOKUP(A847,'[1]PA 2023'!$A$8:$E$84,5)</f>
        <v>Mantener el Plan General de Asistencia Técnica.</v>
      </c>
      <c r="C847" s="14">
        <v>2020680010123</v>
      </c>
      <c r="D847" s="14" t="str">
        <f>+VLOOKUP(C847,'[1]PA 2023'!$G$8:$H$84,2,FALSE)</f>
        <v>FORTALECIMIENTO DE LA PRODUCTIVIDAD Y COMPETITIVIDAD AGROPECUARIA EN EL SECTOR RURAL DEL MUNICIPIO DE BUCARAMANGA</v>
      </c>
      <c r="E847" s="13" t="s">
        <v>1701</v>
      </c>
      <c r="F847" s="15">
        <v>3061</v>
      </c>
      <c r="G847" s="22" t="s">
        <v>35</v>
      </c>
      <c r="H847" s="21" t="s">
        <v>36</v>
      </c>
      <c r="I847" s="13" t="s">
        <v>1110</v>
      </c>
      <c r="J847" s="13" t="s">
        <v>1685</v>
      </c>
      <c r="K847" s="16">
        <v>45105</v>
      </c>
      <c r="L847" s="17">
        <v>11000000</v>
      </c>
      <c r="M847" s="17">
        <v>11000000</v>
      </c>
      <c r="N847" s="18">
        <f>2133333.33+2000000</f>
        <v>4133333.33</v>
      </c>
      <c r="O847" s="22" t="s">
        <v>1832</v>
      </c>
      <c r="Q847" s="13">
        <v>7781</v>
      </c>
      <c r="R847" s="13" t="s">
        <v>1687</v>
      </c>
      <c r="S847" s="13" t="s">
        <v>1112</v>
      </c>
      <c r="T847" s="13" t="s">
        <v>16</v>
      </c>
      <c r="U847" s="17">
        <f t="shared" si="27"/>
        <v>6866666.6699999999</v>
      </c>
    </row>
    <row r="848" spans="1:21" x14ac:dyDescent="0.3">
      <c r="A848" s="13">
        <v>285</v>
      </c>
      <c r="B848" s="13" t="str">
        <f>+VLOOKUP(A848,'[1]PA 2023'!$A$8:$E$84,5)</f>
        <v>Mantener en funcionamiento el 100% de los salones comunales que hacen parte del programa Ágoras.</v>
      </c>
      <c r="C848" s="14">
        <v>2022680010029</v>
      </c>
      <c r="D848" s="14" t="str">
        <f>+VLOOKUP(C848,'[1]PA 2023'!$G$8:$H$84,2,FALSE)</f>
        <v>FORTALECIMIENTO DE LA PARTICIPACIÓN CIUDADANA EN EL MUNICIPIO DE BUCARAMANGA</v>
      </c>
      <c r="E848" s="13" t="s">
        <v>637</v>
      </c>
      <c r="F848" s="15">
        <v>3054</v>
      </c>
      <c r="G848" s="21" t="s">
        <v>35</v>
      </c>
      <c r="H848" s="21" t="s">
        <v>36</v>
      </c>
      <c r="I848" s="13" t="s">
        <v>1031</v>
      </c>
      <c r="J848" s="13" t="s">
        <v>1505</v>
      </c>
      <c r="K848" s="16">
        <v>45105</v>
      </c>
      <c r="L848" s="17">
        <v>9000000</v>
      </c>
      <c r="M848" s="17">
        <v>9000000</v>
      </c>
      <c r="N848" s="18">
        <f>1920000+1800000</f>
        <v>3720000</v>
      </c>
      <c r="O848" s="22" t="s">
        <v>1833</v>
      </c>
      <c r="Q848" s="13">
        <v>7782</v>
      </c>
      <c r="R848" s="13" t="s">
        <v>1462</v>
      </c>
      <c r="S848" s="13" t="s">
        <v>1033</v>
      </c>
      <c r="T848" s="13" t="s">
        <v>16</v>
      </c>
      <c r="U848" s="17">
        <f t="shared" si="27"/>
        <v>5280000</v>
      </c>
    </row>
    <row r="849" spans="1:21" x14ac:dyDescent="0.3">
      <c r="A849" s="13">
        <v>285</v>
      </c>
      <c r="B849" s="13" t="str">
        <f>+VLOOKUP(A849,'[1]PA 2023'!$A$8:$E$84,5)</f>
        <v>Mantener en funcionamiento el 100% de los salones comunales que hacen parte del programa Ágoras.</v>
      </c>
      <c r="C849" s="14">
        <v>2022680010029</v>
      </c>
      <c r="D849" s="14" t="str">
        <f>+VLOOKUP(C849,'[1]PA 2023'!$G$8:$H$84,2,FALSE)</f>
        <v>FORTALECIMIENTO DE LA PARTICIPACIÓN CIUDADANA EN EL MUNICIPIO DE BUCARAMANGA</v>
      </c>
      <c r="E849" s="13" t="s">
        <v>1834</v>
      </c>
      <c r="F849" s="15">
        <v>3043</v>
      </c>
      <c r="G849" s="21" t="s">
        <v>35</v>
      </c>
      <c r="H849" s="21" t="s">
        <v>36</v>
      </c>
      <c r="I849" s="13" t="s">
        <v>939</v>
      </c>
      <c r="J849" s="13" t="s">
        <v>1505</v>
      </c>
      <c r="K849" s="16">
        <v>45105</v>
      </c>
      <c r="L849" s="17">
        <v>9000000</v>
      </c>
      <c r="M849" s="17">
        <v>9000000</v>
      </c>
      <c r="N849" s="18">
        <f>1920000+1800000</f>
        <v>3720000</v>
      </c>
      <c r="O849" s="22" t="s">
        <v>1835</v>
      </c>
      <c r="Q849" s="13">
        <v>7783</v>
      </c>
      <c r="R849" s="13" t="s">
        <v>1462</v>
      </c>
      <c r="S849" s="13" t="s">
        <v>941</v>
      </c>
      <c r="T849" s="13" t="s">
        <v>16</v>
      </c>
      <c r="U849" s="17">
        <f t="shared" si="27"/>
        <v>5280000</v>
      </c>
    </row>
    <row r="850" spans="1:21" x14ac:dyDescent="0.3">
      <c r="A850" s="13">
        <v>95</v>
      </c>
      <c r="B850" s="13" t="str">
        <f>+VLOOKUP(A850,'[1]PA 2023'!$A$8:$E$84,5)</f>
        <v>Formular e implementar 1 estrategia que promueva  las actividades psicosociales, actividades artísticas y culturales,   actividades físicas y recreación y actividades productivas en las personas mayores.</v>
      </c>
      <c r="C850" s="14">
        <v>2020680010040</v>
      </c>
      <c r="D850" s="14" t="str">
        <f>+VLOOKUP(C850,'[1]PA 2023'!$G$8:$H$84,2,FALSE)</f>
        <v>IMPLEMENTACIÓN DE ACCIONES TENDIENTES A MEJORAR LAS CONDICIONES DE LOS ADULTOS MAYORES DEL MUNICIPIO DE BUCARAMANGA</v>
      </c>
      <c r="E850" s="13" t="s">
        <v>1286</v>
      </c>
      <c r="F850" s="15">
        <v>3036</v>
      </c>
      <c r="G850" s="21" t="s">
        <v>43</v>
      </c>
      <c r="H850" s="21" t="s">
        <v>36</v>
      </c>
      <c r="I850" s="13" t="s">
        <v>1287</v>
      </c>
      <c r="J850" s="13" t="s">
        <v>1554</v>
      </c>
      <c r="K850" s="16">
        <v>45105</v>
      </c>
      <c r="L850" s="17">
        <v>15000000</v>
      </c>
      <c r="M850" s="17">
        <v>15000000</v>
      </c>
      <c r="N850" s="18">
        <f>3200000+3000000</f>
        <v>6200000</v>
      </c>
      <c r="O850" s="22" t="s">
        <v>1836</v>
      </c>
      <c r="Q850" s="13">
        <v>7784</v>
      </c>
      <c r="R850" s="13" t="s">
        <v>1556</v>
      </c>
      <c r="S850" s="13" t="s">
        <v>1289</v>
      </c>
      <c r="T850" s="13" t="s">
        <v>16</v>
      </c>
      <c r="U850" s="17">
        <f t="shared" si="27"/>
        <v>8800000</v>
      </c>
    </row>
    <row r="851" spans="1:21" x14ac:dyDescent="0.3">
      <c r="A851" s="13">
        <v>300</v>
      </c>
      <c r="B851" s="13" t="str">
        <f>+VLOOKUP(A851,'[1]PA 2023'!$A$8:$E$84,5)</f>
        <v>Mantener el 100% de los programas que desarrolla la Administración Central.</v>
      </c>
      <c r="C851" s="14">
        <v>2020680010025</v>
      </c>
      <c r="D851" s="14" t="str">
        <f>+VLOOKUP(C851,'[1]PA 2023'!$G$8:$H$84,2,FALSE)</f>
        <v>MEJORAMIENTO DE LOS PROCESOS TRANSVERSALES PARA UNA ADMINISTRACIÓN PUBLICA MODERNA Y EFICIENTE EN LA SECRETARÍA DE DESARROLLO SOCIAL DEL MUNICIPIO BUCARAMANGA</v>
      </c>
      <c r="E851" s="13" t="s">
        <v>1837</v>
      </c>
      <c r="F851" s="15">
        <v>3030</v>
      </c>
      <c r="G851" s="22" t="s">
        <v>35</v>
      </c>
      <c r="H851" s="21" t="s">
        <v>36</v>
      </c>
      <c r="I851" s="13" t="s">
        <v>347</v>
      </c>
      <c r="J851" s="13" t="s">
        <v>38</v>
      </c>
      <c r="K851" s="16">
        <v>45105</v>
      </c>
      <c r="L851" s="17">
        <v>10776664.66</v>
      </c>
      <c r="M851" s="17">
        <v>10776664.66</v>
      </c>
      <c r="N851" s="18">
        <f>2000000+133333.33+1443331.33</f>
        <v>3576664.66</v>
      </c>
      <c r="O851" s="22" t="s">
        <v>1838</v>
      </c>
      <c r="Q851" s="13">
        <v>7785</v>
      </c>
      <c r="R851" s="23" t="s">
        <v>40</v>
      </c>
      <c r="S851" s="13" t="s">
        <v>349</v>
      </c>
      <c r="T851" s="13" t="s">
        <v>16</v>
      </c>
      <c r="U851" s="17">
        <f t="shared" si="27"/>
        <v>7200000</v>
      </c>
    </row>
    <row r="852" spans="1:21" x14ac:dyDescent="0.3">
      <c r="A852" s="13">
        <v>300</v>
      </c>
      <c r="B852" s="13" t="str">
        <f>+VLOOKUP(A852,'[1]PA 2023'!$A$8:$E$84,5)</f>
        <v>Mantener el 100% de los programas que desarrolla la Administración Central.</v>
      </c>
      <c r="C852" s="14">
        <v>2023680010016</v>
      </c>
      <c r="D852" s="14" t="str">
        <f>+VLOOKUP(C852,'[1]PA 2023'!$G$8:$H$84,2,FALSE)</f>
        <v>APOYO A LA GESTIÓN ADMINISTRATIVA Y PROCESOS TRANSVERSALES DE LA SECRETARIA DE DESARROLLO SOCIAL DEL MUNICIPIO DE BUCARAMANGA</v>
      </c>
      <c r="E852" s="13" t="s">
        <v>1837</v>
      </c>
      <c r="F852" s="15">
        <v>3030</v>
      </c>
      <c r="G852" s="22" t="s">
        <v>35</v>
      </c>
      <c r="H852" s="21" t="s">
        <v>36</v>
      </c>
      <c r="I852" s="13" t="s">
        <v>347</v>
      </c>
      <c r="J852" s="13" t="s">
        <v>1388</v>
      </c>
      <c r="K852" s="16">
        <v>45105</v>
      </c>
      <c r="L852" s="17">
        <v>556668.67000000004</v>
      </c>
      <c r="M852" s="17">
        <v>556668.67000000004</v>
      </c>
      <c r="N852" s="18">
        <v>556668.67000000004</v>
      </c>
      <c r="O852" s="22" t="s">
        <v>1838</v>
      </c>
      <c r="Q852" s="13">
        <v>7785</v>
      </c>
      <c r="R852" s="23" t="s">
        <v>1390</v>
      </c>
      <c r="S852" s="13" t="s">
        <v>349</v>
      </c>
      <c r="T852" s="13" t="s">
        <v>16</v>
      </c>
      <c r="U852" s="17">
        <f t="shared" si="27"/>
        <v>0</v>
      </c>
    </row>
    <row r="853" spans="1:21" x14ac:dyDescent="0.3">
      <c r="A853" s="13">
        <v>99</v>
      </c>
      <c r="B853" s="13" t="str">
        <f>+VLOOKUP(A853,'[1]PA 2023'!$A$8:$E$84,5)</f>
        <v>Formular e implementar 1 estrategia para brindar asistencia social a la población afectada por las diferentes emergencias y particularmente COVID-19.</v>
      </c>
      <c r="C853" s="14">
        <v>2022680010036</v>
      </c>
      <c r="D853" s="14" t="str">
        <f>+VLOOKUP(C853,'[1]PA 2023'!$G$8:$H$84,2,FALSE)</f>
        <v>IMPLEMENTACIÓN DE ACCIONES DE ASISTENCIA SOCIAL ORIENTADAS A LA POBLACIÓN AFECTADA POR LAS DIFERENTES EMERGENCIAS SOCIALES, NATURALES, SANITARIAS ANTRÓPICAS O EN SITUACIÓN DE VULNERABILIDAD EN EL MUNICIPIO DE BUCARAMANGA</v>
      </c>
      <c r="E853" s="13" t="s">
        <v>1839</v>
      </c>
      <c r="F853" s="15">
        <v>2948</v>
      </c>
      <c r="G853" s="21" t="s">
        <v>35</v>
      </c>
      <c r="H853" s="21" t="s">
        <v>36</v>
      </c>
      <c r="I853" s="13" t="s">
        <v>1065</v>
      </c>
      <c r="J853" s="13" t="s">
        <v>538</v>
      </c>
      <c r="K853" s="16">
        <v>45105</v>
      </c>
      <c r="L853" s="17">
        <v>9900000</v>
      </c>
      <c r="M853" s="17">
        <v>9900000</v>
      </c>
      <c r="N853" s="18">
        <f>1920000+1800000</f>
        <v>3720000</v>
      </c>
      <c r="O853" s="22" t="s">
        <v>1840</v>
      </c>
      <c r="Q853" s="13">
        <v>7786</v>
      </c>
      <c r="R853" s="13" t="s">
        <v>540</v>
      </c>
      <c r="S853" s="13" t="s">
        <v>1067</v>
      </c>
      <c r="T853" s="13" t="s">
        <v>16</v>
      </c>
      <c r="U853" s="17">
        <f t="shared" si="27"/>
        <v>6180000</v>
      </c>
    </row>
    <row r="854" spans="1:21" x14ac:dyDescent="0.3">
      <c r="A854" s="13">
        <v>80</v>
      </c>
      <c r="B854" s="13" t="str">
        <f>+VLOOKUP(A854,'[1]PA 2023'!$A$8:$E$84,5)</f>
        <v>Brindar 150.000 entradas gratuitas de niñas, niños y adolescentes y sus familias a  eventos artísticos, culturales, lúdicos y recreativos.</v>
      </c>
      <c r="C854" s="14">
        <v>2021680010003</v>
      </c>
      <c r="D854" s="14" t="str">
        <f>+VLOOKUP(C854,'[1]PA 2023'!$G$8:$H$84,2,FALSE)</f>
        <v>IMPLEMENTACIÓN DE ESTRATEGIAS PSICOPEDAGÓGICAS PARA LA DISMINUCIÓN DE FACTORES DE RIESGO EN NIÑOS, NIÑAS Y ADOLESCENTES EN EL MUNICIPIO DE BUCARAMANGA</v>
      </c>
      <c r="E854" s="13" t="s">
        <v>1841</v>
      </c>
      <c r="F854" s="15">
        <v>168</v>
      </c>
      <c r="G854" s="22" t="s">
        <v>1114</v>
      </c>
      <c r="H854" s="21" t="s">
        <v>36</v>
      </c>
      <c r="I854" s="13" t="s">
        <v>1115</v>
      </c>
      <c r="J854" s="13" t="s">
        <v>1842</v>
      </c>
      <c r="K854" s="16">
        <v>45105</v>
      </c>
      <c r="L854" s="17">
        <v>150000000</v>
      </c>
      <c r="M854" s="17">
        <v>150000000</v>
      </c>
      <c r="N854" s="18">
        <v>150000000</v>
      </c>
      <c r="O854" s="22" t="s">
        <v>1843</v>
      </c>
      <c r="Q854" s="13">
        <v>7787</v>
      </c>
      <c r="R854" s="23" t="s">
        <v>1580</v>
      </c>
      <c r="S854" s="13" t="s">
        <v>1118</v>
      </c>
      <c r="T854" s="13" t="s">
        <v>16</v>
      </c>
      <c r="U854" s="17">
        <f t="shared" si="27"/>
        <v>0</v>
      </c>
    </row>
    <row r="855" spans="1:21" x14ac:dyDescent="0.3">
      <c r="A855" s="13">
        <v>283</v>
      </c>
      <c r="B855" s="13" t="str">
        <f>+VLOOKUP(A855,'[1]PA 2023'!$A$8:$E$84,5)</f>
        <v>Formular e implementar 1 estrategia que fortalezca la democracia participativa (Ley 1757 de 2015).</v>
      </c>
      <c r="C855" s="14">
        <v>2022680010035</v>
      </c>
      <c r="D855" s="14" t="str">
        <f>+VLOOKUP(C855,'[1]PA 2023'!$G$8:$H$84,2,FALSE)</f>
        <v>FORTALECIMIENTO DE LA PARTICIPACIÓN E INCIDENCIA DE LAS EXPRESIONES E INSTITUCIONES DEMOCRÁTICAS JUVENILES DE LA CIUDAD DE BUCARAMANGA</v>
      </c>
      <c r="E855" s="13" t="s">
        <v>1841</v>
      </c>
      <c r="F855" s="15">
        <v>168</v>
      </c>
      <c r="G855" s="22" t="s">
        <v>1114</v>
      </c>
      <c r="H855" s="21" t="s">
        <v>36</v>
      </c>
      <c r="I855" s="13" t="s">
        <v>1115</v>
      </c>
      <c r="J855" s="13" t="s">
        <v>1460</v>
      </c>
      <c r="K855" s="16">
        <v>45105</v>
      </c>
      <c r="L855" s="17">
        <v>304820292</v>
      </c>
      <c r="M855" s="17">
        <v>304820292</v>
      </c>
      <c r="N855" s="18">
        <v>304820292</v>
      </c>
      <c r="O855" s="22" t="s">
        <v>1843</v>
      </c>
      <c r="Q855" s="13">
        <v>7787</v>
      </c>
      <c r="R855" s="23" t="s">
        <v>1462</v>
      </c>
      <c r="S855" s="13" t="s">
        <v>1118</v>
      </c>
      <c r="T855" s="13" t="s">
        <v>16</v>
      </c>
      <c r="U855" s="17">
        <f t="shared" si="27"/>
        <v>0</v>
      </c>
    </row>
    <row r="856" spans="1:21" x14ac:dyDescent="0.3">
      <c r="A856" s="13">
        <v>95</v>
      </c>
      <c r="B856" s="13" t="str">
        <f>+VLOOKUP(A856,'[1]PA 2023'!$A$8:$E$84,5)</f>
        <v>Formular e implementar 1 estrategia que promueva  las actividades psicosociales, actividades artísticas y culturales,   actividades físicas y recreación y actividades productivas en las personas mayores.</v>
      </c>
      <c r="C856" s="14">
        <v>2020680010040</v>
      </c>
      <c r="D856" s="14" t="str">
        <f>+VLOOKUP(C856,'[1]PA 2023'!$G$8:$H$84,2,FALSE)</f>
        <v>IMPLEMENTACIÓN DE ACCIONES TENDIENTES A MEJORAR LAS CONDICIONES DE LOS ADULTOS MAYORES DEL MUNICIPIO DE BUCARAMANGA</v>
      </c>
      <c r="E856" s="13" t="s">
        <v>1844</v>
      </c>
      <c r="F856" s="15">
        <v>167</v>
      </c>
      <c r="G856" s="22" t="s">
        <v>1114</v>
      </c>
      <c r="H856" s="21" t="s">
        <v>36</v>
      </c>
      <c r="I856" s="13" t="s">
        <v>1845</v>
      </c>
      <c r="J856" s="13" t="s">
        <v>1846</v>
      </c>
      <c r="K856" s="16">
        <v>45105</v>
      </c>
      <c r="L856" s="17">
        <v>400000000</v>
      </c>
      <c r="M856" s="17">
        <v>400000000</v>
      </c>
      <c r="N856" s="18">
        <v>0</v>
      </c>
      <c r="O856" s="22" t="s">
        <v>1847</v>
      </c>
      <c r="Q856" s="13">
        <v>7788</v>
      </c>
      <c r="R856" s="23" t="s">
        <v>26</v>
      </c>
      <c r="S856" s="13" t="s">
        <v>1848</v>
      </c>
      <c r="T856" s="13" t="s">
        <v>16</v>
      </c>
      <c r="U856" s="17">
        <f t="shared" si="27"/>
        <v>400000000</v>
      </c>
    </row>
    <row r="857" spans="1:21" x14ac:dyDescent="0.3">
      <c r="A857" s="13">
        <v>95</v>
      </c>
      <c r="B857" s="13" t="str">
        <f>+VLOOKUP(A857,'[1]PA 2023'!$A$8:$E$84,5)</f>
        <v>Formular e implementar 1 estrategia que promueva  las actividades psicosociales, actividades artísticas y culturales,   actividades físicas y recreación y actividades productivas en las personas mayores.</v>
      </c>
      <c r="C857" s="14">
        <v>2020680010040</v>
      </c>
      <c r="D857" s="14" t="str">
        <f>+VLOOKUP(C857,'[1]PA 2023'!$G$8:$H$84,2,FALSE)</f>
        <v>IMPLEMENTACIÓN DE ACCIONES TENDIENTES A MEJORAR LAS CONDICIONES DE LOS ADULTOS MAYORES DEL MUNICIPIO DE BUCARAMANGA</v>
      </c>
      <c r="E857" s="13" t="s">
        <v>1844</v>
      </c>
      <c r="F857" s="15">
        <v>167</v>
      </c>
      <c r="G857" s="22" t="s">
        <v>1114</v>
      </c>
      <c r="H857" s="21" t="s">
        <v>36</v>
      </c>
      <c r="I857" s="13" t="s">
        <v>1845</v>
      </c>
      <c r="J857" s="13" t="s">
        <v>1849</v>
      </c>
      <c r="K857" s="16">
        <v>45105</v>
      </c>
      <c r="L857" s="17">
        <v>400000000</v>
      </c>
      <c r="M857" s="17">
        <v>400000000</v>
      </c>
      <c r="N857" s="18">
        <v>0</v>
      </c>
      <c r="O857" s="22" t="s">
        <v>1847</v>
      </c>
      <c r="Q857" s="13">
        <v>7788</v>
      </c>
      <c r="R857" s="23" t="s">
        <v>1556</v>
      </c>
      <c r="S857" s="13" t="s">
        <v>1848</v>
      </c>
      <c r="T857" s="13" t="s">
        <v>16</v>
      </c>
      <c r="U857" s="17">
        <f t="shared" si="27"/>
        <v>400000000</v>
      </c>
    </row>
    <row r="858" spans="1:21" x14ac:dyDescent="0.3">
      <c r="A858" s="13">
        <v>78</v>
      </c>
      <c r="B858" s="13" t="str">
        <f>+VLOOKUP(A858,'[1]PA 2023'!$A$8:$E$84,5)</f>
        <v>Formular e implementar 1 ruta de atención integral para niños, niñas, adolescentes refugiados y migrantes y sus familias.</v>
      </c>
      <c r="C858" s="14">
        <v>2022680010056</v>
      </c>
      <c r="D858" s="14" t="str">
        <f>+VLOOKUP(C858,'[1]PA 2023'!$G$8:$H$84,2,FALSE)</f>
        <v>APOYO EN LOS PROCESOS DE ATENCIÓN INTEGRAL DE LOS NIÑOS Y NIÑAS EN EL ESPACIO DE CUIDADO Y ALBERGUE "CASA BÚHO" EN EL MUNICIPIO DE BUCARAMANGA</v>
      </c>
      <c r="E858" s="13" t="s">
        <v>1850</v>
      </c>
      <c r="F858" s="15" t="s">
        <v>22</v>
      </c>
      <c r="G858" s="22" t="s">
        <v>23</v>
      </c>
      <c r="H858" s="21" t="s">
        <v>23</v>
      </c>
      <c r="I858" s="13" t="s">
        <v>260</v>
      </c>
      <c r="J858" s="13" t="s">
        <v>970</v>
      </c>
      <c r="K858" s="16">
        <v>45105</v>
      </c>
      <c r="L858" s="17">
        <v>2368949</v>
      </c>
      <c r="M858" s="17">
        <v>2368949</v>
      </c>
      <c r="N858" s="18">
        <v>2368949</v>
      </c>
      <c r="O858" s="15" t="s">
        <v>23</v>
      </c>
      <c r="Q858" s="13">
        <v>7789</v>
      </c>
      <c r="R858" s="13" t="s">
        <v>170</v>
      </c>
      <c r="S858" s="13" t="s">
        <v>261</v>
      </c>
      <c r="T858" s="13" t="s">
        <v>16</v>
      </c>
      <c r="U858" s="17">
        <f t="shared" si="27"/>
        <v>0</v>
      </c>
    </row>
    <row r="859" spans="1:21" x14ac:dyDescent="0.3">
      <c r="A859" s="13">
        <v>285</v>
      </c>
      <c r="B859" s="13" t="str">
        <f>+VLOOKUP(A859,'[1]PA 2023'!$A$8:$E$84,5)</f>
        <v>Mantener en funcionamiento el 100% de los salones comunales que hacen parte del programa Ágoras.</v>
      </c>
      <c r="C859" s="14">
        <v>2022680010029</v>
      </c>
      <c r="D859" s="14" t="str">
        <f>+VLOOKUP(C859,'[1]PA 2023'!$G$8:$H$84,2,FALSE)</f>
        <v>FORTALECIMIENTO DE LA PARTICIPACIÓN CIUDADANA EN EL MUNICIPIO DE BUCARAMANGA</v>
      </c>
      <c r="E859" s="13" t="s">
        <v>1851</v>
      </c>
      <c r="F859" s="15" t="s">
        <v>22</v>
      </c>
      <c r="G859" s="22" t="s">
        <v>23</v>
      </c>
      <c r="H859" s="21" t="s">
        <v>23</v>
      </c>
      <c r="I859" s="13" t="s">
        <v>260</v>
      </c>
      <c r="J859" s="13" t="s">
        <v>1130</v>
      </c>
      <c r="K859" s="16">
        <v>45105</v>
      </c>
      <c r="L859" s="17">
        <v>190483</v>
      </c>
      <c r="M859" s="17">
        <v>190483</v>
      </c>
      <c r="N859" s="18">
        <v>190483</v>
      </c>
      <c r="O859" s="15" t="s">
        <v>23</v>
      </c>
      <c r="Q859" s="13">
        <v>7790</v>
      </c>
      <c r="R859" s="13" t="s">
        <v>134</v>
      </c>
      <c r="S859" s="13" t="s">
        <v>261</v>
      </c>
      <c r="T859" s="13" t="s">
        <v>16</v>
      </c>
      <c r="U859" s="17">
        <f t="shared" si="27"/>
        <v>0</v>
      </c>
    </row>
    <row r="860" spans="1:21" x14ac:dyDescent="0.3">
      <c r="A860" s="13">
        <v>93</v>
      </c>
      <c r="B860" s="13" t="str">
        <f>+VLOOKUP(A860,'[1]PA 2023'!$A$8:$E$84,5)</f>
        <v>Mantener en funcionamiento los 3 Centros Vida con la prestacion de servicios integrales y/o dotacion de los mismos cumpliendo con la oferta institucional.</v>
      </c>
      <c r="C860" s="14">
        <v>2020680010040</v>
      </c>
      <c r="D860" s="14" t="str">
        <f>+VLOOKUP(C860,'[1]PA 2023'!$G$8:$H$84,2,FALSE)</f>
        <v>IMPLEMENTACIÓN DE ACCIONES TENDIENTES A MEJORAR LAS CONDICIONES DE LOS ADULTOS MAYORES DEL MUNICIPIO DE BUCARAMANGA</v>
      </c>
      <c r="E860" s="13" t="s">
        <v>1852</v>
      </c>
      <c r="F860" s="15" t="s">
        <v>22</v>
      </c>
      <c r="G860" s="22" t="s">
        <v>23</v>
      </c>
      <c r="H860" s="21" t="s">
        <v>23</v>
      </c>
      <c r="I860" s="13" t="s">
        <v>260</v>
      </c>
      <c r="J860" s="13" t="s">
        <v>25</v>
      </c>
      <c r="K860" s="16">
        <v>45105</v>
      </c>
      <c r="L860" s="17">
        <v>3803119</v>
      </c>
      <c r="M860" s="17">
        <v>3803119</v>
      </c>
      <c r="N860" s="18">
        <v>3803119</v>
      </c>
      <c r="O860" s="15" t="s">
        <v>23</v>
      </c>
      <c r="Q860" s="13">
        <v>7791</v>
      </c>
      <c r="R860" s="13" t="s">
        <v>26</v>
      </c>
      <c r="S860" s="13" t="s">
        <v>261</v>
      </c>
      <c r="T860" s="13" t="s">
        <v>16</v>
      </c>
      <c r="U860" s="17">
        <f t="shared" si="27"/>
        <v>0</v>
      </c>
    </row>
    <row r="861" spans="1:21" x14ac:dyDescent="0.3">
      <c r="A861" s="13">
        <v>68</v>
      </c>
      <c r="B861" s="13" t="str">
        <f>+VLOOKUP(A861,'[1]PA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861" s="14">
        <v>2021680010003</v>
      </c>
      <c r="D861" s="14" t="str">
        <f>+VLOOKUP(C861,'[1]PA 2023'!$G$8:$H$84,2,FALSE)</f>
        <v>IMPLEMENTACIÓN DE ESTRATEGIAS PSICOPEDAGÓGICAS PARA LA DISMINUCIÓN DE FACTORES DE RIESGO EN NIÑOS, NIÑAS Y ADOLESCENTES EN EL MUNICIPIO DE BUCARAMANGA</v>
      </c>
      <c r="E861" s="13" t="s">
        <v>1853</v>
      </c>
      <c r="F861" s="15">
        <v>3060</v>
      </c>
      <c r="G861" s="21" t="s">
        <v>43</v>
      </c>
      <c r="H861" s="21" t="s">
        <v>36</v>
      </c>
      <c r="I861" s="13" t="s">
        <v>401</v>
      </c>
      <c r="J861" s="13" t="s">
        <v>1607</v>
      </c>
      <c r="K861" s="16">
        <v>45105</v>
      </c>
      <c r="L861" s="17">
        <v>15000000</v>
      </c>
      <c r="M861" s="17">
        <v>15000000</v>
      </c>
      <c r="N861" s="18">
        <f>3200000+3000000</f>
        <v>6200000</v>
      </c>
      <c r="O861" s="22" t="s">
        <v>1854</v>
      </c>
      <c r="Q861" s="13">
        <v>7793</v>
      </c>
      <c r="R861" s="13" t="s">
        <v>1609</v>
      </c>
      <c r="S861" s="13" t="s">
        <v>403</v>
      </c>
      <c r="T861" s="13" t="s">
        <v>16</v>
      </c>
      <c r="U861" s="17">
        <f t="shared" si="27"/>
        <v>8800000</v>
      </c>
    </row>
    <row r="862" spans="1:21" x14ac:dyDescent="0.3">
      <c r="A862" s="13">
        <v>71</v>
      </c>
      <c r="B862" s="13" t="str">
        <f>+VLOOKUP(A862,'[1]PA 2023'!$A$8:$E$84,5)</f>
        <v>Formular e implementar 1 estrategia de corresponsabilidad en la garantía de derechos, la prevención de vulneración, amenaza o riesgo en el ámbito familiar, comunitario e institucional.</v>
      </c>
      <c r="C862" s="14">
        <v>2021680010003</v>
      </c>
      <c r="D862" s="14" t="str">
        <f>+VLOOKUP(C862,'[1]PA 2023'!$G$8:$H$84,2,FALSE)</f>
        <v>IMPLEMENTACIÓN DE ESTRATEGIAS PSICOPEDAGÓGICAS PARA LA DISMINUCIÓN DE FACTORES DE RIESGO EN NIÑOS, NIÑAS Y ADOLESCENTES EN EL MUNICIPIO DE BUCARAMANGA</v>
      </c>
      <c r="E862" s="13" t="s">
        <v>1855</v>
      </c>
      <c r="F862" s="15">
        <v>3053</v>
      </c>
      <c r="G862" s="21" t="s">
        <v>43</v>
      </c>
      <c r="H862" s="21" t="s">
        <v>36</v>
      </c>
      <c r="I862" s="13" t="s">
        <v>518</v>
      </c>
      <c r="J862" s="13" t="s">
        <v>1578</v>
      </c>
      <c r="K862" s="16">
        <v>45105</v>
      </c>
      <c r="L862" s="17">
        <v>15000000</v>
      </c>
      <c r="M862" s="17">
        <v>15000000</v>
      </c>
      <c r="N862" s="18">
        <f>3200000+3000000</f>
        <v>6200000</v>
      </c>
      <c r="O862" s="22" t="s">
        <v>1856</v>
      </c>
      <c r="Q862" s="13">
        <v>7794</v>
      </c>
      <c r="R862" s="13" t="s">
        <v>1580</v>
      </c>
      <c r="S862" s="13" t="s">
        <v>520</v>
      </c>
      <c r="T862" s="13" t="s">
        <v>16</v>
      </c>
      <c r="U862" s="17">
        <f t="shared" si="27"/>
        <v>8800000</v>
      </c>
    </row>
    <row r="863" spans="1:21" x14ac:dyDescent="0.3">
      <c r="A863" s="13">
        <v>84</v>
      </c>
      <c r="B863" s="13" t="str">
        <f>+VLOOKUP(A863,'[1]PA 2023'!$A$8:$E$84,5)</f>
        <v>Sistematizar 4 buenas prácticas que aporten al desarrollo de las realizaciones establecidas para los niños, niñas y adolescentes en el marco del proceso de rendición pública de cuentas.</v>
      </c>
      <c r="C863" s="14">
        <v>2021680010003</v>
      </c>
      <c r="D863" s="14" t="str">
        <f>+VLOOKUP(C863,'[1]PA 2023'!$G$8:$H$84,2,FALSE)</f>
        <v>IMPLEMENTACIÓN DE ESTRATEGIAS PSICOPEDAGÓGICAS PARA LA DISMINUCIÓN DE FACTORES DE RIESGO EN NIÑOS, NIÑAS Y ADOLESCENTES EN EL MUNICIPIO DE BUCARAMANGA</v>
      </c>
      <c r="E863" s="13" t="s">
        <v>1675</v>
      </c>
      <c r="F863" s="15">
        <v>3063</v>
      </c>
      <c r="G863" s="21" t="s">
        <v>43</v>
      </c>
      <c r="H863" s="21" t="s">
        <v>36</v>
      </c>
      <c r="I863" s="13" t="s">
        <v>977</v>
      </c>
      <c r="J863" s="13" t="s">
        <v>1578</v>
      </c>
      <c r="K863" s="16">
        <v>45105</v>
      </c>
      <c r="L863" s="17">
        <v>19600000</v>
      </c>
      <c r="M863" s="17">
        <v>19600000</v>
      </c>
      <c r="N863" s="18">
        <f>4181333.33+3920000</f>
        <v>8101333.3300000001</v>
      </c>
      <c r="O863" s="22" t="s">
        <v>1857</v>
      </c>
      <c r="Q863" s="13">
        <v>7795</v>
      </c>
      <c r="R863" s="13" t="s">
        <v>1580</v>
      </c>
      <c r="S863" s="13" t="s">
        <v>979</v>
      </c>
      <c r="T863" s="13" t="s">
        <v>16</v>
      </c>
      <c r="U863" s="17">
        <f t="shared" si="27"/>
        <v>11498666.67</v>
      </c>
    </row>
    <row r="864" spans="1:21" x14ac:dyDescent="0.3">
      <c r="A864" s="13">
        <v>206</v>
      </c>
      <c r="B864" s="13" t="str">
        <f>+VLOOKUP(A864,'[1]PA 2023'!$A$8:$E$84,5)</f>
        <v>Mantener el Plan General de Asistencia Técnica.</v>
      </c>
      <c r="C864" s="14">
        <v>2020680010123</v>
      </c>
      <c r="D864" s="14" t="str">
        <f>+VLOOKUP(C864,'[1]PA 2023'!$G$8:$H$84,2,FALSE)</f>
        <v>FORTALECIMIENTO DE LA PRODUCTIVIDAD Y COMPETITIVIDAD AGROPECUARIA EN EL SECTOR RURAL DEL MUNICIPIO DE BUCARAMANGA</v>
      </c>
      <c r="E864" s="13" t="s">
        <v>1701</v>
      </c>
      <c r="F864" s="15">
        <v>3067</v>
      </c>
      <c r="G864" s="22" t="s">
        <v>35</v>
      </c>
      <c r="H864" s="21" t="s">
        <v>36</v>
      </c>
      <c r="I864" s="13" t="s">
        <v>1093</v>
      </c>
      <c r="J864" s="13" t="s">
        <v>1685</v>
      </c>
      <c r="K864" s="16">
        <v>45105</v>
      </c>
      <c r="L864" s="17">
        <v>11000000</v>
      </c>
      <c r="M864" s="17">
        <v>11000000</v>
      </c>
      <c r="N864" s="18">
        <f>2133333.33+2000000</f>
        <v>4133333.33</v>
      </c>
      <c r="O864" s="22" t="s">
        <v>1858</v>
      </c>
      <c r="Q864" s="13">
        <v>7796</v>
      </c>
      <c r="R864" s="13" t="s">
        <v>1687</v>
      </c>
      <c r="S864" s="13" t="s">
        <v>1095</v>
      </c>
      <c r="T864" s="13" t="s">
        <v>16</v>
      </c>
      <c r="U864" s="17">
        <f t="shared" si="27"/>
        <v>6866666.6699999999</v>
      </c>
    </row>
    <row r="865" spans="1:21" x14ac:dyDescent="0.3">
      <c r="A865" s="13">
        <v>83</v>
      </c>
      <c r="B865" s="13" t="str">
        <f>+VLOOKUP(A865,'[1]PA 2023'!$A$8:$E$84,5)</f>
        <v>Implementar y mantener 1 proceso de liderazgo b-learning orientada al fortalecimiento de la participación de niños, niñas, adolescentes y jóvenes.</v>
      </c>
      <c r="C865" s="14">
        <v>2021680010003</v>
      </c>
      <c r="D865" s="14" t="str">
        <f>+VLOOKUP(C865,'[1]PA 2023'!$G$8:$H$84,2,FALSE)</f>
        <v>IMPLEMENTACIÓN DE ESTRATEGIAS PSICOPEDAGÓGICAS PARA LA DISMINUCIÓN DE FACTORES DE RIESGO EN NIÑOS, NIÑAS Y ADOLESCENTES EN EL MUNICIPIO DE BUCARAMANGA</v>
      </c>
      <c r="E865" s="13" t="s">
        <v>1859</v>
      </c>
      <c r="F865" s="15">
        <v>3050</v>
      </c>
      <c r="G865" s="21" t="s">
        <v>43</v>
      </c>
      <c r="H865" s="21" t="s">
        <v>36</v>
      </c>
      <c r="I865" s="13" t="s">
        <v>1081</v>
      </c>
      <c r="J865" s="13" t="s">
        <v>1578</v>
      </c>
      <c r="K865" s="16">
        <v>45105</v>
      </c>
      <c r="L865" s="17">
        <v>15000000</v>
      </c>
      <c r="M865" s="17">
        <v>15000000</v>
      </c>
      <c r="N865" s="18">
        <f>3100000+3000000</f>
        <v>6100000</v>
      </c>
      <c r="O865" s="22" t="s">
        <v>1860</v>
      </c>
      <c r="Q865" s="13">
        <v>7797</v>
      </c>
      <c r="R865" s="13" t="s">
        <v>1580</v>
      </c>
      <c r="S865" s="13" t="s">
        <v>1083</v>
      </c>
      <c r="T865" s="13" t="s">
        <v>16</v>
      </c>
      <c r="U865" s="17">
        <f t="shared" ref="U865:U928" si="28">+M865-N865</f>
        <v>8900000</v>
      </c>
    </row>
    <row r="866" spans="1:21" x14ac:dyDescent="0.3">
      <c r="A866" s="13">
        <v>234</v>
      </c>
      <c r="B866" s="13" t="str">
        <f>+VLOOKUP(A866,'[1]PA 2023'!$A$8:$E$84,5)</f>
        <v>Mantener la estrategia para la prevención, detección y atención de las violencias en adolescentes.</v>
      </c>
      <c r="C866" s="14">
        <v>2021680010003</v>
      </c>
      <c r="D866" s="14" t="str">
        <f>+VLOOKUP(C866,'[1]PA 2023'!$G$8:$H$84,2,FALSE)</f>
        <v>IMPLEMENTACIÓN DE ESTRATEGIAS PSICOPEDAGÓGICAS PARA LA DISMINUCIÓN DE FACTORES DE RIESGO EN NIÑOS, NIÑAS Y ADOLESCENTES EN EL MUNICIPIO DE BUCARAMANGA</v>
      </c>
      <c r="E866" s="13" t="s">
        <v>215</v>
      </c>
      <c r="F866" s="15">
        <v>3064</v>
      </c>
      <c r="G866" s="21" t="s">
        <v>43</v>
      </c>
      <c r="H866" s="21" t="s">
        <v>36</v>
      </c>
      <c r="I866" s="13" t="s">
        <v>216</v>
      </c>
      <c r="J866" s="13" t="s">
        <v>1607</v>
      </c>
      <c r="K866" s="16">
        <v>45105</v>
      </c>
      <c r="L866" s="17">
        <v>15000000</v>
      </c>
      <c r="M866" s="17">
        <v>15000000</v>
      </c>
      <c r="N866" s="18">
        <f>3200000+3000000</f>
        <v>6200000</v>
      </c>
      <c r="O866" s="22" t="s">
        <v>1861</v>
      </c>
      <c r="Q866" s="13">
        <v>7798</v>
      </c>
      <c r="R866" s="13" t="s">
        <v>1609</v>
      </c>
      <c r="S866" s="13" t="s">
        <v>218</v>
      </c>
      <c r="T866" s="13" t="s">
        <v>16</v>
      </c>
      <c r="U866" s="17">
        <f t="shared" si="28"/>
        <v>8800000</v>
      </c>
    </row>
    <row r="867" spans="1:21" x14ac:dyDescent="0.3">
      <c r="A867" s="13">
        <v>67</v>
      </c>
      <c r="B867" s="13" t="str">
        <f>+VLOOKUP(A867,'[1]PA 2023'!$A$8:$E$84,5)</f>
        <v>Formular e implementar 1 estrategia para el fortalecimiento de padres/madres y/o cuidadores en pautas de crianza y vínculos afectivos tanto en el ámbito familiar como comunitario que permita disminuir las violencias en primera infancia.</v>
      </c>
      <c r="C867" s="14">
        <v>2021680010003</v>
      </c>
      <c r="D867" s="14" t="str">
        <f>+VLOOKUP(C867,'[1]PA 2023'!$G$8:$H$84,2,FALSE)</f>
        <v>IMPLEMENTACIÓN DE ESTRATEGIAS PSICOPEDAGÓGICAS PARA LA DISMINUCIÓN DE FACTORES DE RIESGO EN NIÑOS, NIÑAS Y ADOLESCENTES EN EL MUNICIPIO DE BUCARAMANGA</v>
      </c>
      <c r="E867" s="13" t="s">
        <v>1862</v>
      </c>
      <c r="F867" s="15">
        <v>3066</v>
      </c>
      <c r="G867" s="21" t="s">
        <v>43</v>
      </c>
      <c r="H867" s="21" t="s">
        <v>36</v>
      </c>
      <c r="I867" s="13" t="s">
        <v>947</v>
      </c>
      <c r="J867" s="13" t="s">
        <v>1607</v>
      </c>
      <c r="K867" s="16">
        <v>45105</v>
      </c>
      <c r="L867" s="17">
        <v>15000000</v>
      </c>
      <c r="M867" s="17">
        <v>15000000</v>
      </c>
      <c r="N867" s="18">
        <f>3200000+2800000</f>
        <v>6000000</v>
      </c>
      <c r="O867" s="22" t="s">
        <v>1863</v>
      </c>
      <c r="Q867" s="13">
        <v>7799</v>
      </c>
      <c r="R867" s="13" t="s">
        <v>1609</v>
      </c>
      <c r="S867" s="13" t="s">
        <v>949</v>
      </c>
      <c r="T867" s="13" t="s">
        <v>16</v>
      </c>
      <c r="U867" s="17">
        <f t="shared" si="28"/>
        <v>9000000</v>
      </c>
    </row>
    <row r="868" spans="1:21" x14ac:dyDescent="0.3">
      <c r="A868" s="13">
        <v>285</v>
      </c>
      <c r="B868" s="13" t="str">
        <f>+VLOOKUP(A868,'[1]PA 2023'!$A$8:$E$84,5)</f>
        <v>Mantener en funcionamiento el 100% de los salones comunales que hacen parte del programa Ágoras.</v>
      </c>
      <c r="C868" s="14">
        <v>2022680010029</v>
      </c>
      <c r="D868" s="14" t="str">
        <f>+VLOOKUP(C868,'[1]PA 2023'!$G$8:$H$84,2,FALSE)</f>
        <v>FORTALECIMIENTO DE LA PARTICIPACIÓN CIUDADANA EN EL MUNICIPIO DE BUCARAMANGA</v>
      </c>
      <c r="E868" s="13" t="s">
        <v>1834</v>
      </c>
      <c r="F868" s="15">
        <v>3070</v>
      </c>
      <c r="G868" s="21" t="s">
        <v>35</v>
      </c>
      <c r="H868" s="21" t="s">
        <v>36</v>
      </c>
      <c r="I868" s="13" t="s">
        <v>1034</v>
      </c>
      <c r="J868" s="13" t="s">
        <v>1505</v>
      </c>
      <c r="K868" s="16">
        <v>45105</v>
      </c>
      <c r="L868" s="17">
        <v>9000000</v>
      </c>
      <c r="M868" s="17">
        <v>9000000</v>
      </c>
      <c r="N868" s="18">
        <f>1860000+1800000</f>
        <v>3660000</v>
      </c>
      <c r="O868" s="22" t="s">
        <v>1864</v>
      </c>
      <c r="Q868" s="13">
        <v>7811</v>
      </c>
      <c r="R868" s="13" t="s">
        <v>1462</v>
      </c>
      <c r="S868" s="13" t="s">
        <v>1036</v>
      </c>
      <c r="T868" s="13" t="s">
        <v>16</v>
      </c>
      <c r="U868" s="17">
        <f t="shared" si="28"/>
        <v>5340000</v>
      </c>
    </row>
    <row r="869" spans="1:21" x14ac:dyDescent="0.3">
      <c r="A869" s="13">
        <v>285</v>
      </c>
      <c r="B869" s="13" t="str">
        <f>+VLOOKUP(A869,'[1]PA 2023'!$A$8:$E$84,5)</f>
        <v>Mantener en funcionamiento el 100% de los salones comunales que hacen parte del programa Ágoras.</v>
      </c>
      <c r="C869" s="14">
        <v>2022680010029</v>
      </c>
      <c r="D869" s="14" t="str">
        <f>+VLOOKUP(C869,'[1]PA 2023'!$G$8:$H$84,2,FALSE)</f>
        <v>FORTALECIMIENTO DE LA PARTICIPACIÓN CIUDADANA EN EL MUNICIPIO DE BUCARAMANGA</v>
      </c>
      <c r="E869" s="13" t="s">
        <v>1697</v>
      </c>
      <c r="F869" s="15">
        <v>3062</v>
      </c>
      <c r="G869" s="21" t="s">
        <v>35</v>
      </c>
      <c r="H869" s="21" t="s">
        <v>36</v>
      </c>
      <c r="I869" s="13" t="s">
        <v>1037</v>
      </c>
      <c r="J869" s="13" t="s">
        <v>1505</v>
      </c>
      <c r="K869" s="16">
        <v>45105</v>
      </c>
      <c r="L869" s="17">
        <v>9000000</v>
      </c>
      <c r="M869" s="17">
        <v>9000000</v>
      </c>
      <c r="N869" s="18">
        <f>1920000+1800000</f>
        <v>3720000</v>
      </c>
      <c r="O869" s="22" t="s">
        <v>1865</v>
      </c>
      <c r="Q869" s="13">
        <v>7812</v>
      </c>
      <c r="R869" s="13" t="s">
        <v>1462</v>
      </c>
      <c r="S869" s="13" t="s">
        <v>1039</v>
      </c>
      <c r="T869" s="13" t="s">
        <v>16</v>
      </c>
      <c r="U869" s="17">
        <f t="shared" si="28"/>
        <v>5280000</v>
      </c>
    </row>
    <row r="870" spans="1:21" x14ac:dyDescent="0.3">
      <c r="A870" s="13">
        <v>88</v>
      </c>
      <c r="B870" s="13" t="str">
        <f>+VLOOKUP(A870,'[1]PA 2023'!$A$8:$E$84,5)</f>
        <v>Beneficiar y mantener a 11.000 personas mayores con el programa Colombia Mayor.</v>
      </c>
      <c r="C870" s="14">
        <v>2020680010040</v>
      </c>
      <c r="D870" s="14" t="str">
        <f>+VLOOKUP(C870,'[1]PA 2023'!$G$8:$H$84,2,FALSE)</f>
        <v>IMPLEMENTACIÓN DE ACCIONES TENDIENTES A MEJORAR LAS CONDICIONES DE LOS ADULTOS MAYORES DEL MUNICIPIO DE BUCARAMANGA</v>
      </c>
      <c r="E870" s="13" t="s">
        <v>1866</v>
      </c>
      <c r="F870" s="15">
        <v>3072</v>
      </c>
      <c r="G870" s="21" t="s">
        <v>35</v>
      </c>
      <c r="H870" s="21" t="s">
        <v>36</v>
      </c>
      <c r="I870" s="13" t="s">
        <v>984</v>
      </c>
      <c r="J870" s="13" t="s">
        <v>574</v>
      </c>
      <c r="K870" s="16">
        <v>45106</v>
      </c>
      <c r="L870" s="17">
        <v>9000000</v>
      </c>
      <c r="M870" s="17">
        <v>9000000</v>
      </c>
      <c r="N870" s="18">
        <f>1860000+1800000</f>
        <v>3660000</v>
      </c>
      <c r="O870" s="22" t="s">
        <v>1867</v>
      </c>
      <c r="Q870" s="13">
        <v>7909</v>
      </c>
      <c r="R870" s="13" t="s">
        <v>26</v>
      </c>
      <c r="S870" s="13" t="s">
        <v>986</v>
      </c>
      <c r="T870" s="13" t="s">
        <v>16</v>
      </c>
      <c r="U870" s="17">
        <f t="shared" si="28"/>
        <v>5340000</v>
      </c>
    </row>
    <row r="871" spans="1:21" x14ac:dyDescent="0.3">
      <c r="A871" s="13">
        <v>99</v>
      </c>
      <c r="B871" s="13" t="str">
        <f>+VLOOKUP(A871,'[1]PA 2023'!$A$8:$E$84,5)</f>
        <v>Formular e implementar 1 estrategia para brindar asistencia social a la población afectada por las diferentes emergencias y particularmente COVID-19.</v>
      </c>
      <c r="C871" s="14">
        <v>2022680010036</v>
      </c>
      <c r="D871" s="14" t="str">
        <f>+VLOOKUP(C871,'[1]PA 2023'!$G$8:$H$84,2,FALSE)</f>
        <v>IMPLEMENTACIÓN DE ACCIONES DE ASISTENCIA SOCIAL ORIENTADAS A LA POBLACIÓN AFECTADA POR LAS DIFERENTES EMERGENCIAS SOCIALES, NATURALES, SANITARIAS ANTRÓPICAS O EN SITUACIÓN DE VULNERABILIDAD EN EL MUNICIPIO DE BUCARAMANGA</v>
      </c>
      <c r="E871" s="13" t="s">
        <v>1868</v>
      </c>
      <c r="F871" s="15">
        <v>3121</v>
      </c>
      <c r="G871" s="22" t="s">
        <v>35</v>
      </c>
      <c r="H871" s="21" t="s">
        <v>36</v>
      </c>
      <c r="I871" s="13" t="s">
        <v>1223</v>
      </c>
      <c r="J871" s="13" t="s">
        <v>1498</v>
      </c>
      <c r="K871" s="16">
        <v>45106</v>
      </c>
      <c r="L871" s="17">
        <v>9900000</v>
      </c>
      <c r="M871" s="17">
        <v>9900000</v>
      </c>
      <c r="N871" s="18">
        <f>1860000+1800000</f>
        <v>3660000</v>
      </c>
      <c r="O871" s="22" t="s">
        <v>1869</v>
      </c>
      <c r="Q871" s="13">
        <v>7920</v>
      </c>
      <c r="R871" s="13" t="s">
        <v>1500</v>
      </c>
      <c r="S871" s="13" t="s">
        <v>1225</v>
      </c>
      <c r="T871" s="13" t="s">
        <v>16</v>
      </c>
      <c r="U871" s="17">
        <f t="shared" si="28"/>
        <v>6240000</v>
      </c>
    </row>
    <row r="872" spans="1:21" x14ac:dyDescent="0.3">
      <c r="A872" s="13">
        <v>285</v>
      </c>
      <c r="B872" s="13" t="str">
        <f>+VLOOKUP(A872,'[1]PA 2023'!$A$8:$E$84,5)</f>
        <v>Mantener en funcionamiento el 100% de los salones comunales que hacen parte del programa Ágoras.</v>
      </c>
      <c r="C872" s="14">
        <v>2022680010029</v>
      </c>
      <c r="D872" s="14" t="str">
        <f>+VLOOKUP(C872,'[1]PA 2023'!$G$8:$H$84,2,FALSE)</f>
        <v>FORTALECIMIENTO DE LA PARTICIPACIÓN CIUDADANA EN EL MUNICIPIO DE BUCARAMANGA</v>
      </c>
      <c r="E872" s="13" t="s">
        <v>1681</v>
      </c>
      <c r="F872" s="15">
        <v>3120</v>
      </c>
      <c r="G872" s="21" t="s">
        <v>35</v>
      </c>
      <c r="H872" s="21" t="s">
        <v>36</v>
      </c>
      <c r="I872" s="13" t="s">
        <v>980</v>
      </c>
      <c r="J872" s="13" t="s">
        <v>1505</v>
      </c>
      <c r="K872" s="16">
        <v>45106</v>
      </c>
      <c r="L872" s="17">
        <v>9000000</v>
      </c>
      <c r="M872" s="17">
        <v>9000000</v>
      </c>
      <c r="N872" s="18">
        <f>1620000+1800000</f>
        <v>3420000</v>
      </c>
      <c r="O872" s="22" t="s">
        <v>1870</v>
      </c>
      <c r="Q872" s="13">
        <v>7921</v>
      </c>
      <c r="R872" s="13" t="s">
        <v>1462</v>
      </c>
      <c r="S872" s="13" t="s">
        <v>982</v>
      </c>
      <c r="T872" s="13" t="s">
        <v>16</v>
      </c>
      <c r="U872" s="17">
        <f t="shared" si="28"/>
        <v>5580000</v>
      </c>
    </row>
    <row r="873" spans="1:21" x14ac:dyDescent="0.3">
      <c r="A873" s="13">
        <v>110</v>
      </c>
      <c r="B873" s="13" t="str">
        <f>+VLOOKUP(A873,'[1]PA 2023'!$A$8:$E$84,5)</f>
        <v>Atender el 100% de la solicitudes realizadas por éste grupo poblacional y sus familias con orientación psicosocial y jurídica.</v>
      </c>
      <c r="C873" s="14">
        <v>2020680010106</v>
      </c>
      <c r="D873" s="14" t="str">
        <f>+VLOOKUP(C873,'[1]PA 2023'!$G$8:$H$84,2,FALSE)</f>
        <v>FORTALECIMIENTO DE ESPACIOS DE PARTICIPACIÓN Y PREVENCIÓN DE VIOLENCIAS EN MUJERES Y POBLACIÓN CON ORIENTACIONES SEXUALES E IDENTIDADES DE GÉNERO DIVERSAS DEL MUNICIPIO DE BUCARAMANGA</v>
      </c>
      <c r="E873" s="13" t="s">
        <v>494</v>
      </c>
      <c r="F873" s="15">
        <v>3119</v>
      </c>
      <c r="G873" s="21" t="s">
        <v>43</v>
      </c>
      <c r="H873" s="21" t="s">
        <v>36</v>
      </c>
      <c r="I873" s="13" t="s">
        <v>495</v>
      </c>
      <c r="J873" s="13" t="s">
        <v>378</v>
      </c>
      <c r="K873" s="16">
        <v>45106</v>
      </c>
      <c r="L873" s="17">
        <v>13539949</v>
      </c>
      <c r="M873" s="17">
        <v>13539949</v>
      </c>
      <c r="N873" s="18">
        <v>3500000</v>
      </c>
      <c r="O873" s="22" t="s">
        <v>1871</v>
      </c>
      <c r="Q873" s="13">
        <v>7922</v>
      </c>
      <c r="R873" s="23" t="s">
        <v>380</v>
      </c>
      <c r="S873" s="13" t="s">
        <v>497</v>
      </c>
      <c r="T873" s="13" t="s">
        <v>16</v>
      </c>
      <c r="U873" s="17">
        <f t="shared" si="28"/>
        <v>10039949</v>
      </c>
    </row>
    <row r="874" spans="1:21" x14ac:dyDescent="0.3">
      <c r="A874" s="13">
        <v>110</v>
      </c>
      <c r="B874" s="13" t="str">
        <f>+VLOOKUP(A874,'[1]PA 2023'!$A$8:$E$84,5)</f>
        <v>Atender el 100% de la solicitudes realizadas por éste grupo poblacional y sus familias con orientación psicosocial y jurídica.</v>
      </c>
      <c r="C874" s="14">
        <v>2023680010015</v>
      </c>
      <c r="D874" s="14" t="str">
        <f>+VLOOKUP(C874,'[1]PA 2023'!$G$8:$H$84,2,FALSE)</f>
        <v>FORTALECIMIENTO DE ACCIONES ORIENTADAS AL CIERRE DE BRECHAS DE GÉNERO PARA MUJERES Y POBLACIÓN CON ORIENTACIONES SEXUALES E IDENTIDADES DE GÉNERO DIVERSAS DEL MUNICIPIO DE BUCARAMANGA</v>
      </c>
      <c r="E874" s="13" t="s">
        <v>494</v>
      </c>
      <c r="F874" s="15">
        <v>3119</v>
      </c>
      <c r="G874" s="21" t="s">
        <v>43</v>
      </c>
      <c r="H874" s="21" t="s">
        <v>36</v>
      </c>
      <c r="I874" s="13" t="s">
        <v>495</v>
      </c>
      <c r="J874" s="13" t="s">
        <v>1488</v>
      </c>
      <c r="K874" s="16">
        <v>45106</v>
      </c>
      <c r="L874" s="17">
        <v>3960051</v>
      </c>
      <c r="M874" s="17">
        <v>3960051</v>
      </c>
      <c r="N874" s="18">
        <v>3616666</v>
      </c>
      <c r="O874" s="22" t="s">
        <v>1871</v>
      </c>
      <c r="Q874" s="13">
        <v>7922</v>
      </c>
      <c r="R874" s="23" t="s">
        <v>1490</v>
      </c>
      <c r="S874" s="13" t="s">
        <v>497</v>
      </c>
      <c r="T874" s="13" t="s">
        <v>16</v>
      </c>
      <c r="U874" s="17">
        <f t="shared" si="28"/>
        <v>343385</v>
      </c>
    </row>
    <row r="875" spans="1:21" x14ac:dyDescent="0.3">
      <c r="A875" s="13">
        <v>95</v>
      </c>
      <c r="B875" s="13" t="str">
        <f>+VLOOKUP(A875,'[1]PA 2023'!$A$8:$E$84,5)</f>
        <v>Formular e implementar 1 estrategia que promueva  las actividades psicosociales, actividades artísticas y culturales,   actividades físicas y recreación y actividades productivas en las personas mayores.</v>
      </c>
      <c r="C875" s="14">
        <v>2020680010040</v>
      </c>
      <c r="D875" s="14" t="str">
        <f>+VLOOKUP(C875,'[1]PA 2023'!$G$8:$H$84,2,FALSE)</f>
        <v>IMPLEMENTACIÓN DE ACCIONES TENDIENTES A MEJORAR LAS CONDICIONES DE LOS ADULTOS MAYORES DEL MUNICIPIO DE BUCARAMANGA</v>
      </c>
      <c r="E875" s="13" t="s">
        <v>886</v>
      </c>
      <c r="F875" s="15">
        <v>3073</v>
      </c>
      <c r="G875" s="21" t="s">
        <v>43</v>
      </c>
      <c r="H875" s="21" t="s">
        <v>36</v>
      </c>
      <c r="I875" s="13" t="s">
        <v>887</v>
      </c>
      <c r="J875" s="13" t="s">
        <v>1554</v>
      </c>
      <c r="K875" s="16">
        <v>45107</v>
      </c>
      <c r="L875" s="17">
        <v>15000000</v>
      </c>
      <c r="M875" s="17">
        <v>15000000</v>
      </c>
      <c r="N875" s="18">
        <f>3100000+3000000</f>
        <v>6100000</v>
      </c>
      <c r="O875" s="22" t="s">
        <v>1872</v>
      </c>
      <c r="Q875" s="13">
        <v>7926</v>
      </c>
      <c r="R875" s="13" t="s">
        <v>1556</v>
      </c>
      <c r="S875" s="13" t="s">
        <v>889</v>
      </c>
      <c r="T875" s="13" t="s">
        <v>16</v>
      </c>
      <c r="U875" s="17">
        <f t="shared" si="28"/>
        <v>8900000</v>
      </c>
    </row>
    <row r="876" spans="1:21" x14ac:dyDescent="0.3">
      <c r="A876" s="13">
        <v>99</v>
      </c>
      <c r="B876" s="13" t="str">
        <f>+VLOOKUP(A876,'[1]PA 2023'!$A$8:$E$84,5)</f>
        <v>Formular e implementar 1 estrategia para brindar asistencia social a la población afectada por las diferentes emergencias y particularmente COVID-19.</v>
      </c>
      <c r="C876" s="14">
        <v>2022680010036</v>
      </c>
      <c r="D876" s="14" t="str">
        <f>+VLOOKUP(C876,'[1]PA 2023'!$G$8:$H$84,2,FALSE)</f>
        <v>IMPLEMENTACIÓN DE ACCIONES DE ASISTENCIA SOCIAL ORIENTADAS A LA POBLACIÓN AFECTADA POR LAS DIFERENTES EMERGENCIAS SOCIALES, NATURALES, SANITARIAS ANTRÓPICAS O EN SITUACIÓN DE VULNERABILIDAD EN EL MUNICIPIO DE BUCARAMANGA</v>
      </c>
      <c r="E876" s="13" t="s">
        <v>1868</v>
      </c>
      <c r="F876" s="15">
        <v>3122</v>
      </c>
      <c r="G876" s="22" t="s">
        <v>35</v>
      </c>
      <c r="H876" s="21" t="s">
        <v>36</v>
      </c>
      <c r="I876" s="13" t="s">
        <v>1227</v>
      </c>
      <c r="J876" s="13" t="s">
        <v>1498</v>
      </c>
      <c r="K876" s="16">
        <v>45107</v>
      </c>
      <c r="L876" s="17">
        <v>9900000</v>
      </c>
      <c r="M876" s="17">
        <v>9900000</v>
      </c>
      <c r="N876" s="18">
        <f>1800000+60000+1800000</f>
        <v>3660000</v>
      </c>
      <c r="O876" s="22" t="s">
        <v>1873</v>
      </c>
      <c r="Q876" s="13">
        <v>7933</v>
      </c>
      <c r="R876" s="13" t="s">
        <v>1500</v>
      </c>
      <c r="S876" s="13" t="s">
        <v>1229</v>
      </c>
      <c r="T876" s="13" t="s">
        <v>16</v>
      </c>
      <c r="U876" s="17">
        <f t="shared" si="28"/>
        <v>6240000</v>
      </c>
    </row>
    <row r="877" spans="1:21" x14ac:dyDescent="0.3">
      <c r="A877" s="13">
        <v>81</v>
      </c>
      <c r="B877" s="13" t="str">
        <f>+VLOOKUP(A877,'[1]PA 2023'!$A$8:$E$84,5)</f>
        <v>Desarrollar 3 jornadas de uso creativo del tiempo y emprendimiento que potencien sus competencias y motiven continuar en diferentes niveles de educación superior.</v>
      </c>
      <c r="C877" s="14">
        <v>2021680010003</v>
      </c>
      <c r="D877" s="14" t="str">
        <f>+VLOOKUP(C877,'[1]PA 2023'!$G$8:$H$84,2,FALSE)</f>
        <v>IMPLEMENTACIÓN DE ESTRATEGIAS PSICOPEDAGÓGICAS PARA LA DISMINUCIÓN DE FACTORES DE RIESGO EN NIÑOS, NIÑAS Y ADOLESCENTES EN EL MUNICIPIO DE BUCARAMANGA</v>
      </c>
      <c r="E877" s="13" t="s">
        <v>505</v>
      </c>
      <c r="F877" s="15">
        <v>3040</v>
      </c>
      <c r="G877" s="21" t="s">
        <v>43</v>
      </c>
      <c r="H877" s="21" t="s">
        <v>36</v>
      </c>
      <c r="I877" s="13" t="s">
        <v>506</v>
      </c>
      <c r="J877" s="13" t="s">
        <v>1607</v>
      </c>
      <c r="K877" s="16">
        <v>45107</v>
      </c>
      <c r="L877" s="17">
        <v>15000000</v>
      </c>
      <c r="M877" s="17">
        <v>15000000</v>
      </c>
      <c r="N877" s="18">
        <f>3100000+3000000</f>
        <v>6100000</v>
      </c>
      <c r="O877" s="22" t="s">
        <v>1874</v>
      </c>
      <c r="Q877" s="13">
        <v>7934</v>
      </c>
      <c r="R877" s="13" t="s">
        <v>1609</v>
      </c>
      <c r="S877" s="13" t="s">
        <v>508</v>
      </c>
      <c r="T877" s="13" t="s">
        <v>16</v>
      </c>
      <c r="U877" s="17">
        <f t="shared" si="28"/>
        <v>8900000</v>
      </c>
    </row>
    <row r="878" spans="1:21" x14ac:dyDescent="0.3">
      <c r="A878" s="13">
        <v>74</v>
      </c>
      <c r="B878" s="13" t="str">
        <f>+VLOOKUP(A878,'[1]PA 2023'!$A$8:$E$84,5)</f>
        <v>Formular e implementar 1 estrategia para el fomento de prácticas de autoprotección y cuidado en niños y niñas para la prevención de conductas de riesgo (consumo de SPA, acciones delictivas, abandono familiar y escolar).</v>
      </c>
      <c r="C878" s="14">
        <v>2021680010003</v>
      </c>
      <c r="D878" s="14" t="str">
        <f>+VLOOKUP(C878,'[1]PA 2023'!$G$8:$H$84,2,FALSE)</f>
        <v>IMPLEMENTACIÓN DE ESTRATEGIAS PSICOPEDAGÓGICAS PARA LA DISMINUCIÓN DE FACTORES DE RIESGO EN NIÑOS, NIÑAS Y ADOLESCENTES EN EL MUNICIPIO DE BUCARAMANGA</v>
      </c>
      <c r="E878" s="13" t="s">
        <v>1875</v>
      </c>
      <c r="F878" s="15">
        <v>3151</v>
      </c>
      <c r="G878" s="21" t="s">
        <v>43</v>
      </c>
      <c r="H878" s="21" t="s">
        <v>36</v>
      </c>
      <c r="I878" s="13" t="s">
        <v>1876</v>
      </c>
      <c r="J878" s="13" t="s">
        <v>212</v>
      </c>
      <c r="K878" s="16">
        <v>45111</v>
      </c>
      <c r="L878" s="17">
        <v>15000000</v>
      </c>
      <c r="M878" s="17">
        <v>15000000</v>
      </c>
      <c r="N878" s="18">
        <f>2700000+3000000</f>
        <v>5700000</v>
      </c>
      <c r="O878" s="22" t="s">
        <v>1877</v>
      </c>
      <c r="Q878" s="13">
        <v>8028</v>
      </c>
      <c r="R878" s="13" t="s">
        <v>164</v>
      </c>
      <c r="S878" s="13" t="s">
        <v>1878</v>
      </c>
      <c r="T878" s="13" t="s">
        <v>16</v>
      </c>
      <c r="U878" s="17">
        <f t="shared" si="28"/>
        <v>9300000</v>
      </c>
    </row>
    <row r="879" spans="1:21" x14ac:dyDescent="0.3">
      <c r="A879" s="13">
        <v>95</v>
      </c>
      <c r="B879" s="13" t="str">
        <f>+VLOOKUP(A879,'[1]PA 2023'!$A$8:$E$84,5)</f>
        <v>Formular e implementar 1 estrategia que promueva  las actividades psicosociales, actividades artísticas y culturales,   actividades físicas y recreación y actividades productivas en las personas mayores.</v>
      </c>
      <c r="C879" s="14">
        <v>2020680010040</v>
      </c>
      <c r="D879" s="14" t="str">
        <f>+VLOOKUP(C879,'[1]PA 2023'!$G$8:$H$84,2,FALSE)</f>
        <v>IMPLEMENTACIÓN DE ACCIONES TENDIENTES A MEJORAR LAS CONDICIONES DE LOS ADULTOS MAYORES DEL MUNICIPIO DE BUCARAMANGA</v>
      </c>
      <c r="E879" s="13" t="s">
        <v>1879</v>
      </c>
      <c r="F879" s="15">
        <v>3149</v>
      </c>
      <c r="G879" s="21" t="s">
        <v>43</v>
      </c>
      <c r="H879" s="21" t="s">
        <v>36</v>
      </c>
      <c r="I879" s="13" t="s">
        <v>943</v>
      </c>
      <c r="J879" s="13" t="s">
        <v>1554</v>
      </c>
      <c r="K879" s="16">
        <v>45111</v>
      </c>
      <c r="L879" s="17">
        <v>15000000</v>
      </c>
      <c r="M879" s="17">
        <v>15000000</v>
      </c>
      <c r="N879" s="18">
        <f>2700000+3000000</f>
        <v>5700000</v>
      </c>
      <c r="O879" s="22" t="s">
        <v>1880</v>
      </c>
      <c r="Q879" s="13">
        <v>8029</v>
      </c>
      <c r="R879" s="13" t="s">
        <v>1556</v>
      </c>
      <c r="S879" s="13" t="s">
        <v>945</v>
      </c>
      <c r="T879" s="13" t="s">
        <v>16</v>
      </c>
      <c r="U879" s="17">
        <f t="shared" si="28"/>
        <v>9300000</v>
      </c>
    </row>
    <row r="880" spans="1:21" x14ac:dyDescent="0.3">
      <c r="A880" s="13">
        <v>72</v>
      </c>
      <c r="B880" s="13" t="str">
        <f>+VLOOKUP(A880,'[1]PA 2023'!$A$8:$E$84,5)</f>
        <v>Implementar 4 iniciativas que promueva la participación activa de niños y niñas desde la primera infancia en espacios de interés privados y públicos en los que se fortalezcan  habilidades para la vida, preparación para el proyecto de vida y el ejercicio de sus derechos.</v>
      </c>
      <c r="C880" s="14">
        <v>2021680010003</v>
      </c>
      <c r="D880" s="14" t="str">
        <f>+VLOOKUP(C880,'[1]PA 2023'!$G$8:$H$84,2,FALSE)</f>
        <v>IMPLEMENTACIÓN DE ESTRATEGIAS PSICOPEDAGÓGICAS PARA LA DISMINUCIÓN DE FACTORES DE RIESGO EN NIÑOS, NIÑAS Y ADOLESCENTES EN EL MUNICIPIO DE BUCARAMANGA</v>
      </c>
      <c r="E880" s="13" t="s">
        <v>1881</v>
      </c>
      <c r="F880" s="15">
        <v>3150</v>
      </c>
      <c r="G880" s="21" t="s">
        <v>43</v>
      </c>
      <c r="H880" s="21" t="s">
        <v>36</v>
      </c>
      <c r="I880" s="13" t="s">
        <v>1882</v>
      </c>
      <c r="J880" s="13" t="s">
        <v>212</v>
      </c>
      <c r="K880" s="16">
        <v>45111</v>
      </c>
      <c r="L880" s="17">
        <v>15000000</v>
      </c>
      <c r="M880" s="17">
        <v>15000000</v>
      </c>
      <c r="N880" s="18">
        <f>2700000+3000000</f>
        <v>5700000</v>
      </c>
      <c r="O880" s="22" t="s">
        <v>1883</v>
      </c>
      <c r="Q880" s="13">
        <v>8030</v>
      </c>
      <c r="R880" s="13" t="s">
        <v>164</v>
      </c>
      <c r="S880" s="13" t="s">
        <v>1884</v>
      </c>
      <c r="T880" s="13" t="s">
        <v>16</v>
      </c>
      <c r="U880" s="17">
        <f t="shared" si="28"/>
        <v>9300000</v>
      </c>
    </row>
    <row r="881" spans="1:21" x14ac:dyDescent="0.3">
      <c r="A881" s="13">
        <v>93</v>
      </c>
      <c r="B881" s="13" t="str">
        <f>+VLOOKUP(A881,'[1]PA 2023'!$A$8:$E$84,5)</f>
        <v>Mantener en funcionamiento los 3 Centros Vida con la prestacion de servicios integrales y/o dotacion de los mismos cumpliendo con la oferta institucional.</v>
      </c>
      <c r="C881" s="14">
        <v>2020680010040</v>
      </c>
      <c r="D881" s="14" t="str">
        <f>+VLOOKUP(C881,'[1]PA 2023'!$G$8:$H$84,2,FALSE)</f>
        <v>IMPLEMENTACIÓN DE ACCIONES TENDIENTES A MEJORAR LAS CONDICIONES DE LOS ADULTOS MAYORES DEL MUNICIPIO DE BUCARAMANGA</v>
      </c>
      <c r="E881" s="13" t="s">
        <v>1885</v>
      </c>
      <c r="F881" s="15">
        <v>3157</v>
      </c>
      <c r="G881" s="21" t="s">
        <v>35</v>
      </c>
      <c r="H881" s="21" t="s">
        <v>36</v>
      </c>
      <c r="I881" s="13" t="s">
        <v>1886</v>
      </c>
      <c r="J881" s="13" t="s">
        <v>372</v>
      </c>
      <c r="K881" s="16">
        <v>45112</v>
      </c>
      <c r="L881" s="17">
        <v>10000000</v>
      </c>
      <c r="M881" s="17">
        <v>10000000</v>
      </c>
      <c r="N881" s="18">
        <f>1733333.33+2000000</f>
        <v>3733333.33</v>
      </c>
      <c r="O881" s="22" t="s">
        <v>1887</v>
      </c>
      <c r="Q881" s="13">
        <v>8038</v>
      </c>
      <c r="R881" s="13" t="s">
        <v>374</v>
      </c>
      <c r="S881" s="13" t="s">
        <v>1888</v>
      </c>
      <c r="T881" s="13" t="s">
        <v>16</v>
      </c>
      <c r="U881" s="17">
        <f t="shared" si="28"/>
        <v>6266666.6699999999</v>
      </c>
    </row>
    <row r="882" spans="1:21" x14ac:dyDescent="0.3">
      <c r="A882" s="13">
        <v>283</v>
      </c>
      <c r="B882" s="13" t="str">
        <f>+VLOOKUP(A882,'[1]PA 2023'!$A$8:$E$84,5)</f>
        <v>Formular e implementar 1 estrategia que fortalezca la democracia participativa (Ley 1757 de 2015).</v>
      </c>
      <c r="C882" s="14">
        <v>2022680010029</v>
      </c>
      <c r="D882" s="14" t="str">
        <f>+VLOOKUP(C882,'[1]PA 2023'!$G$8:$H$84,2,FALSE)</f>
        <v>FORTALECIMIENTO DE LA PARTICIPACIÓN CIUDADANA EN EL MUNICIPIO DE BUCARAMANGA</v>
      </c>
      <c r="E882" s="13" t="s">
        <v>1889</v>
      </c>
      <c r="F882" s="15">
        <v>3158</v>
      </c>
      <c r="G882" s="21" t="s">
        <v>35</v>
      </c>
      <c r="H882" s="21" t="s">
        <v>36</v>
      </c>
      <c r="I882" s="13" t="s">
        <v>1890</v>
      </c>
      <c r="J882" s="13" t="s">
        <v>468</v>
      </c>
      <c r="K882" s="16">
        <v>45112</v>
      </c>
      <c r="L882" s="17">
        <v>9000000</v>
      </c>
      <c r="M882" s="17">
        <v>9000000</v>
      </c>
      <c r="N882" s="18">
        <f>1560000+1800000</f>
        <v>3360000</v>
      </c>
      <c r="O882" s="22" t="s">
        <v>1891</v>
      </c>
      <c r="Q882" s="13">
        <v>8039</v>
      </c>
      <c r="R882" s="13" t="s">
        <v>134</v>
      </c>
      <c r="S882" s="13" t="s">
        <v>1892</v>
      </c>
      <c r="T882" s="13" t="s">
        <v>16</v>
      </c>
      <c r="U882" s="17">
        <f t="shared" si="28"/>
        <v>5640000</v>
      </c>
    </row>
    <row r="883" spans="1:21" x14ac:dyDescent="0.3">
      <c r="A883" s="13">
        <v>285</v>
      </c>
      <c r="B883" s="13" t="str">
        <f>+VLOOKUP(A883,'[1]PA 2023'!$A$8:$E$84,5)</f>
        <v>Mantener en funcionamiento el 100% de los salones comunales que hacen parte del programa Ágoras.</v>
      </c>
      <c r="C883" s="14">
        <v>2022680010029</v>
      </c>
      <c r="D883" s="14" t="str">
        <f>+VLOOKUP(C883,'[1]PA 2023'!$G$8:$H$84,2,FALSE)</f>
        <v>FORTALECIMIENTO DE LA PARTICIPACIÓN CIUDADANA EN EL MUNICIPIO DE BUCARAMANGA</v>
      </c>
      <c r="E883" s="13" t="s">
        <v>1681</v>
      </c>
      <c r="F883" s="15">
        <v>3156</v>
      </c>
      <c r="G883" s="21" t="s">
        <v>35</v>
      </c>
      <c r="H883" s="21" t="s">
        <v>36</v>
      </c>
      <c r="I883" s="13" t="s">
        <v>1893</v>
      </c>
      <c r="J883" s="13" t="s">
        <v>468</v>
      </c>
      <c r="K883" s="16">
        <v>45112</v>
      </c>
      <c r="L883" s="17">
        <v>9000000</v>
      </c>
      <c r="M883" s="17">
        <v>9000000</v>
      </c>
      <c r="N883" s="18">
        <f>1560000+1800000</f>
        <v>3360000</v>
      </c>
      <c r="O883" s="22" t="s">
        <v>1894</v>
      </c>
      <c r="Q883" s="13">
        <v>8040</v>
      </c>
      <c r="R883" s="13" t="s">
        <v>134</v>
      </c>
      <c r="S883" s="13" t="s">
        <v>1895</v>
      </c>
      <c r="T883" s="13" t="s">
        <v>16</v>
      </c>
      <c r="U883" s="17">
        <f t="shared" si="28"/>
        <v>5640000</v>
      </c>
    </row>
    <row r="884" spans="1:21" x14ac:dyDescent="0.3">
      <c r="A884" s="13">
        <v>94</v>
      </c>
      <c r="B884" s="13" t="str">
        <f>+VLOOKUP(A884,'[1]PA 2023'!$A$8:$E$84,5)</f>
        <v>Mantener el servicio atención primaria en salud, atención psicosocial que promueva la salud física, salud mental y el bienestar social de las personas mayores en los centros vida.</v>
      </c>
      <c r="C884" s="14">
        <v>2020680010040</v>
      </c>
      <c r="D884" s="14" t="str">
        <f>+VLOOKUP(C884,'[1]PA 2023'!$G$8:$H$84,2,FALSE)</f>
        <v>IMPLEMENTACIÓN DE ACCIONES TENDIENTES A MEJORAR LAS CONDICIONES DE LOS ADULTOS MAYORES DEL MUNICIPIO DE BUCARAMANGA</v>
      </c>
      <c r="E884" s="13" t="s">
        <v>1896</v>
      </c>
      <c r="F884" s="15">
        <v>3161</v>
      </c>
      <c r="G884" s="21" t="s">
        <v>35</v>
      </c>
      <c r="H884" s="21" t="s">
        <v>36</v>
      </c>
      <c r="I884" s="13" t="s">
        <v>1897</v>
      </c>
      <c r="J884" s="13" t="s">
        <v>574</v>
      </c>
      <c r="K884" s="16">
        <v>45112</v>
      </c>
      <c r="L884" s="17">
        <v>7050000</v>
      </c>
      <c r="M884" s="17">
        <v>7050000</v>
      </c>
      <c r="N884" s="18">
        <f>1733333+2000000</f>
        <v>3733333</v>
      </c>
      <c r="O884" s="22" t="s">
        <v>1898</v>
      </c>
      <c r="Q884" s="13">
        <v>8041</v>
      </c>
      <c r="R884" s="23" t="s">
        <v>26</v>
      </c>
      <c r="S884" s="13" t="s">
        <v>1899</v>
      </c>
      <c r="T884" s="13" t="s">
        <v>16</v>
      </c>
      <c r="U884" s="17">
        <f t="shared" si="28"/>
        <v>3316667</v>
      </c>
    </row>
    <row r="885" spans="1:21" x14ac:dyDescent="0.3">
      <c r="A885" s="13">
        <v>94</v>
      </c>
      <c r="B885" s="13" t="str">
        <f>+VLOOKUP(A885,'[1]PA 2023'!$A$8:$E$84,5)</f>
        <v>Mantener el servicio atención primaria en salud, atención psicosocial que promueva la salud física, salud mental y el bienestar social de las personas mayores en los centros vida.</v>
      </c>
      <c r="C885" s="14">
        <v>2020680010040</v>
      </c>
      <c r="D885" s="14" t="str">
        <f>+VLOOKUP(C885,'[1]PA 2023'!$G$8:$H$84,2,FALSE)</f>
        <v>IMPLEMENTACIÓN DE ACCIONES TENDIENTES A MEJORAR LAS CONDICIONES DE LOS ADULTOS MAYORES DEL MUNICIPIO DE BUCARAMANGA</v>
      </c>
      <c r="E885" s="13" t="s">
        <v>1896</v>
      </c>
      <c r="F885" s="15">
        <v>3161</v>
      </c>
      <c r="G885" s="21" t="s">
        <v>35</v>
      </c>
      <c r="H885" s="21" t="s">
        <v>36</v>
      </c>
      <c r="I885" s="13" t="s">
        <v>1897</v>
      </c>
      <c r="J885" s="13" t="s">
        <v>1554</v>
      </c>
      <c r="K885" s="16">
        <v>45112</v>
      </c>
      <c r="L885" s="17">
        <v>2950000</v>
      </c>
      <c r="M885" s="17">
        <v>2950000</v>
      </c>
      <c r="N885" s="18">
        <v>0</v>
      </c>
      <c r="O885" s="22" t="s">
        <v>1898</v>
      </c>
      <c r="Q885" s="13">
        <v>8041</v>
      </c>
      <c r="R885" s="23" t="s">
        <v>1556</v>
      </c>
      <c r="S885" s="13" t="s">
        <v>1899</v>
      </c>
      <c r="T885" s="13" t="s">
        <v>16</v>
      </c>
      <c r="U885" s="17">
        <f t="shared" si="28"/>
        <v>2950000</v>
      </c>
    </row>
    <row r="886" spans="1:21" x14ac:dyDescent="0.3">
      <c r="A886" s="13">
        <v>112</v>
      </c>
      <c r="B886" s="13" t="str">
        <f>+VLOOKUP(A886,'[1]PA 2023'!$A$8:$E$84,5)</f>
        <v>Mantener a 284 habitantes de calle con atención integral en la cual se incluya la prestación de servicios básicos.</v>
      </c>
      <c r="C886" s="14">
        <v>2020680010050</v>
      </c>
      <c r="D886" s="14" t="str">
        <f>+VLOOKUP(C886,'[1]PA 2023'!$G$8:$H$84,2,FALSE)</f>
        <v>DESARROLLO DE ACCIONES ENCAMINADAS A GENERAR ATENCIÓN INTEGRAL HACIA LA POBLACIÓN HABITANTES EN SITUACIÓN DE CALLE DEL MUNICIPIO DE BUCARAMANGA</v>
      </c>
      <c r="E886" s="13" t="s">
        <v>1900</v>
      </c>
      <c r="F886" s="15">
        <v>29</v>
      </c>
      <c r="G886" s="22" t="s">
        <v>184</v>
      </c>
      <c r="H886" s="21" t="s">
        <v>1901</v>
      </c>
      <c r="I886" s="13" t="s">
        <v>179</v>
      </c>
      <c r="J886" s="13" t="s">
        <v>1902</v>
      </c>
      <c r="K886" s="16">
        <v>45113</v>
      </c>
      <c r="L886" s="17">
        <v>102023628</v>
      </c>
      <c r="M886" s="17">
        <v>102023628</v>
      </c>
      <c r="N886" s="18">
        <f>36656095+51011814</f>
        <v>87667909</v>
      </c>
      <c r="O886" s="22" t="s">
        <v>992</v>
      </c>
      <c r="Q886" s="13">
        <v>8060</v>
      </c>
      <c r="R886" s="13" t="s">
        <v>1903</v>
      </c>
      <c r="S886" s="13" t="s">
        <v>182</v>
      </c>
      <c r="T886" s="13" t="s">
        <v>16</v>
      </c>
      <c r="U886" s="17">
        <f t="shared" si="28"/>
        <v>14355719</v>
      </c>
    </row>
    <row r="887" spans="1:21" x14ac:dyDescent="0.3">
      <c r="A887" s="13">
        <v>300</v>
      </c>
      <c r="B887" s="13" t="str">
        <f>+VLOOKUP(A887,'[1]PA 2023'!$A$8:$E$84,5)</f>
        <v>Mantener el 100% de los programas que desarrolla la Administración Central.</v>
      </c>
      <c r="C887" s="14">
        <v>2023680010016</v>
      </c>
      <c r="D887" s="14" t="str">
        <f>+VLOOKUP(C887,'[1]PA 2023'!$G$8:$H$84,2,FALSE)</f>
        <v>APOYO A LA GESTIÓN ADMINISTRATIVA Y PROCESOS TRANSVERSALES DE LA SECRETARIA DE DESARROLLO SOCIAL DEL MUNICIPIO DE BUCARAMANGA</v>
      </c>
      <c r="E887" s="13" t="s">
        <v>1904</v>
      </c>
      <c r="F887" s="15">
        <v>3169</v>
      </c>
      <c r="G887" s="21" t="s">
        <v>43</v>
      </c>
      <c r="H887" s="21" t="s">
        <v>36</v>
      </c>
      <c r="I887" s="13" t="s">
        <v>1905</v>
      </c>
      <c r="J887" s="13" t="s">
        <v>1388</v>
      </c>
      <c r="K887" s="16">
        <v>45113</v>
      </c>
      <c r="L887" s="17">
        <v>800000</v>
      </c>
      <c r="M887" s="17">
        <v>800000</v>
      </c>
      <c r="N887" s="18">
        <v>800000</v>
      </c>
      <c r="O887" s="22" t="s">
        <v>1906</v>
      </c>
      <c r="Q887" s="13">
        <v>8066</v>
      </c>
      <c r="R887" s="23" t="s">
        <v>1390</v>
      </c>
      <c r="S887" s="13" t="s">
        <v>1907</v>
      </c>
      <c r="T887" s="13" t="s">
        <v>16</v>
      </c>
      <c r="U887" s="17">
        <f t="shared" si="28"/>
        <v>0</v>
      </c>
    </row>
    <row r="888" spans="1:21" x14ac:dyDescent="0.3">
      <c r="A888" s="13">
        <v>300</v>
      </c>
      <c r="B888" s="13" t="str">
        <f>+VLOOKUP(A888,'[1]PA 2023'!$A$8:$E$84,5)</f>
        <v>Mantener el 100% de los programas que desarrolla la Administración Central.</v>
      </c>
      <c r="C888" s="14">
        <v>2020680010025</v>
      </c>
      <c r="D888" s="14" t="str">
        <f>+VLOOKUP(C888,'[1]PA 2023'!$G$8:$H$84,2,FALSE)</f>
        <v>MEJORAMIENTO DE LOS PROCESOS TRANSVERSALES PARA UNA ADMINISTRACIÓN PUBLICA MODERNA Y EFICIENTE EN LA SECRETARÍA DE DESARROLLO SOCIAL DEL MUNICIPIO BUCARAMANGA</v>
      </c>
      <c r="E888" s="13" t="s">
        <v>1904</v>
      </c>
      <c r="F888" s="15">
        <v>3169</v>
      </c>
      <c r="G888" s="21" t="s">
        <v>43</v>
      </c>
      <c r="H888" s="21" t="s">
        <v>36</v>
      </c>
      <c r="I888" s="13" t="s">
        <v>1905</v>
      </c>
      <c r="J888" s="13" t="s">
        <v>38</v>
      </c>
      <c r="K888" s="16">
        <v>45113</v>
      </c>
      <c r="L888" s="17">
        <v>18000000</v>
      </c>
      <c r="M888" s="17">
        <v>18000000</v>
      </c>
      <c r="N888" s="18">
        <f>2960000+4700000</f>
        <v>7660000</v>
      </c>
      <c r="O888" s="22" t="s">
        <v>1906</v>
      </c>
      <c r="Q888" s="13">
        <v>8066</v>
      </c>
      <c r="R888" s="23" t="s">
        <v>40</v>
      </c>
      <c r="S888" s="13" t="s">
        <v>1907</v>
      </c>
      <c r="T888" s="13" t="s">
        <v>16</v>
      </c>
      <c r="U888" s="17">
        <f t="shared" si="28"/>
        <v>10340000</v>
      </c>
    </row>
    <row r="889" spans="1:21" x14ac:dyDescent="0.3">
      <c r="A889" s="13">
        <v>90</v>
      </c>
      <c r="B889" s="13" t="str">
        <f>+VLOOKUP(A889,'[1]PA 2023'!$A$8:$E$84,5)</f>
        <v>Beneficiar a 7.000 personas mayores vulnerables de los diferentes barrios del municipio con la oferta de servicios de atencion primaria en salud, recreacion y aprovechamiento del tiempo libre.</v>
      </c>
      <c r="C889" s="14">
        <v>2020680010040</v>
      </c>
      <c r="D889" s="14" t="str">
        <f>+VLOOKUP(C889,'[1]PA 2023'!$G$8:$H$84,2,FALSE)</f>
        <v>IMPLEMENTACIÓN DE ACCIONES TENDIENTES A MEJORAR LAS CONDICIONES DE LOS ADULTOS MAYORES DEL MUNICIPIO DE BUCARAMANGA</v>
      </c>
      <c r="E889" s="13" t="s">
        <v>1908</v>
      </c>
      <c r="F889" s="15">
        <v>3171</v>
      </c>
      <c r="G889" s="21" t="s">
        <v>43</v>
      </c>
      <c r="H889" s="21" t="s">
        <v>36</v>
      </c>
      <c r="I889" s="13" t="s">
        <v>1909</v>
      </c>
      <c r="J889" s="13" t="s">
        <v>372</v>
      </c>
      <c r="K889" s="16">
        <v>45113</v>
      </c>
      <c r="L889" s="17">
        <v>20000000</v>
      </c>
      <c r="M889" s="17">
        <v>20000000</v>
      </c>
      <c r="N889" s="18">
        <f>2800000+4000000</f>
        <v>6800000</v>
      </c>
      <c r="O889" s="22" t="s">
        <v>1910</v>
      </c>
      <c r="Q889" s="13">
        <v>8067</v>
      </c>
      <c r="R889" s="13" t="s">
        <v>374</v>
      </c>
      <c r="S889" s="13" t="s">
        <v>1911</v>
      </c>
      <c r="T889" s="13" t="s">
        <v>16</v>
      </c>
      <c r="U889" s="17">
        <f t="shared" si="28"/>
        <v>13200000</v>
      </c>
    </row>
    <row r="890" spans="1:21" x14ac:dyDescent="0.3">
      <c r="A890" s="13">
        <v>88</v>
      </c>
      <c r="B890" s="13" t="str">
        <f>+VLOOKUP(A890,'[1]PA 2023'!$A$8:$E$84,5)</f>
        <v>Beneficiar y mantener a 11.000 personas mayores con el programa Colombia Mayor.</v>
      </c>
      <c r="C890" s="14">
        <v>2020680010040</v>
      </c>
      <c r="D890" s="14" t="str">
        <f>+VLOOKUP(C890,'[1]PA 2023'!$G$8:$H$84,2,FALSE)</f>
        <v>IMPLEMENTACIÓN DE ACCIONES TENDIENTES A MEJORAR LAS CONDICIONES DE LOS ADULTOS MAYORES DEL MUNICIPIO DE BUCARAMANGA</v>
      </c>
      <c r="E890" s="13" t="s">
        <v>1912</v>
      </c>
      <c r="F890" s="15">
        <v>3177</v>
      </c>
      <c r="G890" s="21" t="s">
        <v>35</v>
      </c>
      <c r="H890" s="21" t="s">
        <v>36</v>
      </c>
      <c r="I890" s="13" t="s">
        <v>1913</v>
      </c>
      <c r="J890" s="13" t="s">
        <v>372</v>
      </c>
      <c r="K890" s="16">
        <v>45114</v>
      </c>
      <c r="L890" s="17">
        <v>11500000</v>
      </c>
      <c r="M890" s="17">
        <v>11500000</v>
      </c>
      <c r="N890" s="18">
        <f>1763333.33+2300000</f>
        <v>4063333.33</v>
      </c>
      <c r="O890" s="22" t="s">
        <v>1914</v>
      </c>
      <c r="Q890" s="13">
        <v>8071</v>
      </c>
      <c r="R890" s="13" t="s">
        <v>374</v>
      </c>
      <c r="S890" s="13" t="s">
        <v>1915</v>
      </c>
      <c r="T890" s="13" t="s">
        <v>16</v>
      </c>
      <c r="U890" s="17">
        <f t="shared" si="28"/>
        <v>7436666.6699999999</v>
      </c>
    </row>
    <row r="891" spans="1:21" x14ac:dyDescent="0.3">
      <c r="A891" s="13">
        <v>93</v>
      </c>
      <c r="B891" s="13" t="str">
        <f>+VLOOKUP(A891,'[1]PA 2023'!$A$8:$E$84,5)</f>
        <v>Mantener en funcionamiento los 3 Centros Vida con la prestacion de servicios integrales y/o dotacion de los mismos cumpliendo con la oferta institucional.</v>
      </c>
      <c r="C891" s="14">
        <v>2020680010040</v>
      </c>
      <c r="D891" s="14" t="str">
        <f>+VLOOKUP(C891,'[1]PA 2023'!$G$8:$H$84,2,FALSE)</f>
        <v>IMPLEMENTACIÓN DE ACCIONES TENDIENTES A MEJORAR LAS CONDICIONES DE LOS ADULTOS MAYORES DEL MUNICIPIO DE BUCARAMANGA</v>
      </c>
      <c r="E891" s="13" t="s">
        <v>1916</v>
      </c>
      <c r="F891" s="15">
        <v>3170</v>
      </c>
      <c r="G891" s="21" t="s">
        <v>43</v>
      </c>
      <c r="H891" s="21" t="s">
        <v>36</v>
      </c>
      <c r="I891" s="13" t="s">
        <v>1917</v>
      </c>
      <c r="J891" s="13" t="s">
        <v>574</v>
      </c>
      <c r="K891" s="16">
        <v>45114</v>
      </c>
      <c r="L891" s="17">
        <v>17500000</v>
      </c>
      <c r="M891" s="17">
        <v>17500000</v>
      </c>
      <c r="N891" s="18">
        <f>2800000+3500000</f>
        <v>6300000</v>
      </c>
      <c r="O891" s="22" t="s">
        <v>1918</v>
      </c>
      <c r="Q891" s="13">
        <v>8072</v>
      </c>
      <c r="R891" s="13" t="s">
        <v>26</v>
      </c>
      <c r="S891" s="13" t="s">
        <v>1919</v>
      </c>
      <c r="T891" s="13" t="s">
        <v>16</v>
      </c>
      <c r="U891" s="17">
        <f t="shared" si="28"/>
        <v>11200000</v>
      </c>
    </row>
    <row r="892" spans="1:21" x14ac:dyDescent="0.3">
      <c r="A892" s="13">
        <v>67</v>
      </c>
      <c r="B892" s="13" t="str">
        <f>+VLOOKUP(A892,'[1]PA 2023'!$A$8:$E$84,5)</f>
        <v>Formular e implementar 1 estrategia para el fortalecimiento de padres/madres y/o cuidadores en pautas de crianza y vínculos afectivos tanto en el ámbito familiar como comunitario que permita disminuir las violencias en primera infancia.</v>
      </c>
      <c r="C892" s="14">
        <v>2021680010003</v>
      </c>
      <c r="D892" s="14" t="str">
        <f>+VLOOKUP(C892,'[1]PA 2023'!$G$8:$H$84,2,FALSE)</f>
        <v>IMPLEMENTACIÓN DE ESTRATEGIAS PSICOPEDAGÓGICAS PARA LA DISMINUCIÓN DE FACTORES DE RIESGO EN NIÑOS, NIÑAS Y ADOLESCENTES EN EL MUNICIPIO DE BUCARAMANGA</v>
      </c>
      <c r="E892" s="13" t="s">
        <v>1920</v>
      </c>
      <c r="F892" s="15">
        <v>3176</v>
      </c>
      <c r="G892" s="21" t="s">
        <v>43</v>
      </c>
      <c r="H892" s="21" t="s">
        <v>36</v>
      </c>
      <c r="I892" s="13" t="s">
        <v>1921</v>
      </c>
      <c r="J892" s="13" t="s">
        <v>212</v>
      </c>
      <c r="K892" s="16">
        <v>45114</v>
      </c>
      <c r="L892" s="17">
        <v>15000000</v>
      </c>
      <c r="M892" s="17">
        <v>15000000</v>
      </c>
      <c r="N892" s="18">
        <f>2400000+3000000</f>
        <v>5400000</v>
      </c>
      <c r="O892" s="22" t="s">
        <v>1922</v>
      </c>
      <c r="Q892" s="13">
        <v>8073</v>
      </c>
      <c r="R892" s="13" t="s">
        <v>164</v>
      </c>
      <c r="S892" s="13" t="s">
        <v>1923</v>
      </c>
      <c r="T892" s="13" t="s">
        <v>16</v>
      </c>
      <c r="U892" s="17">
        <f t="shared" si="28"/>
        <v>9600000</v>
      </c>
    </row>
    <row r="893" spans="1:21" x14ac:dyDescent="0.3">
      <c r="A893" s="13">
        <v>113</v>
      </c>
      <c r="B893" s="13" t="str">
        <f>+VLOOKUP(A893,'[1]PA 2023'!$A$8:$E$84,5)</f>
        <v>Formular e implementar 1 política pública para habitante de calle.</v>
      </c>
      <c r="C893" s="14">
        <v>2020680010050</v>
      </c>
      <c r="D893" s="14" t="str">
        <f>+VLOOKUP(C893,'[1]PA 2023'!$G$8:$H$84,2,FALSE)</f>
        <v>DESARROLLO DE ACCIONES ENCAMINADAS A GENERAR ATENCIÓN INTEGRAL HACIA LA POBLACIÓN HABITANTES EN SITUACIÓN DE CALLE DEL MUNICIPIO DE BUCARAMANGA</v>
      </c>
      <c r="E893" s="13" t="s">
        <v>1924</v>
      </c>
      <c r="F893" s="15">
        <v>176</v>
      </c>
      <c r="G893" s="22" t="s">
        <v>1925</v>
      </c>
      <c r="H893" s="21" t="s">
        <v>1187</v>
      </c>
      <c r="I893" s="13" t="s">
        <v>1926</v>
      </c>
      <c r="J893" s="13" t="s">
        <v>768</v>
      </c>
      <c r="K893" s="16">
        <v>45114</v>
      </c>
      <c r="L893" s="17">
        <v>50000000</v>
      </c>
      <c r="M893" s="17">
        <v>50000000</v>
      </c>
      <c r="N893" s="18">
        <v>0</v>
      </c>
      <c r="O893" s="22" t="s">
        <v>1927</v>
      </c>
      <c r="Q893" s="13">
        <v>8082</v>
      </c>
      <c r="R893" s="23" t="s">
        <v>770</v>
      </c>
      <c r="S893" s="13" t="s">
        <v>1928</v>
      </c>
      <c r="T893" s="13" t="s">
        <v>16</v>
      </c>
      <c r="U893" s="17">
        <f t="shared" si="28"/>
        <v>50000000</v>
      </c>
    </row>
    <row r="894" spans="1:21" x14ac:dyDescent="0.3">
      <c r="A894" s="13">
        <v>80</v>
      </c>
      <c r="B894" s="13" t="str">
        <f>+VLOOKUP(A894,'[1]PA 2023'!$A$8:$E$84,5)</f>
        <v>Brindar 150.000 entradas gratuitas de niñas, niños y adolescentes y sus familias a  eventos artísticos, culturales, lúdicos y recreativos.</v>
      </c>
      <c r="C894" s="14">
        <v>2021680010003</v>
      </c>
      <c r="D894" s="14" t="str">
        <f>+VLOOKUP(C894,'[1]PA 2023'!$G$8:$H$84,2,FALSE)</f>
        <v>IMPLEMENTACIÓN DE ESTRATEGIAS PSICOPEDAGÓGICAS PARA LA DISMINUCIÓN DE FACTORES DE RIESGO EN NIÑOS, NIÑAS Y ADOLESCENTES EN EL MUNICIPIO DE BUCARAMANGA</v>
      </c>
      <c r="E894" s="13" t="s">
        <v>1924</v>
      </c>
      <c r="F894" s="15">
        <v>176</v>
      </c>
      <c r="G894" s="22" t="s">
        <v>1925</v>
      </c>
      <c r="H894" s="21" t="s">
        <v>1187</v>
      </c>
      <c r="I894" s="13" t="s">
        <v>1926</v>
      </c>
      <c r="J894" s="13" t="s">
        <v>1929</v>
      </c>
      <c r="K894" s="16">
        <v>45114</v>
      </c>
      <c r="L894" s="17">
        <v>25227752</v>
      </c>
      <c r="M894" s="17">
        <v>25227752</v>
      </c>
      <c r="N894" s="18">
        <v>0</v>
      </c>
      <c r="O894" s="22" t="s">
        <v>1927</v>
      </c>
      <c r="Q894" s="13">
        <v>8082</v>
      </c>
      <c r="R894" s="23" t="s">
        <v>1649</v>
      </c>
      <c r="S894" s="13" t="s">
        <v>1928</v>
      </c>
      <c r="T894" s="13" t="s">
        <v>16</v>
      </c>
      <c r="U894" s="17">
        <f t="shared" si="28"/>
        <v>25227752</v>
      </c>
    </row>
    <row r="895" spans="1:21" x14ac:dyDescent="0.3">
      <c r="A895" s="13">
        <v>93</v>
      </c>
      <c r="B895" s="13" t="str">
        <f>+VLOOKUP(A895,'[1]PA 2023'!$A$8:$E$84,5)</f>
        <v>Mantener en funcionamiento los 3 Centros Vida con la prestacion de servicios integrales y/o dotacion de los mismos cumpliendo con la oferta institucional.</v>
      </c>
      <c r="C895" s="14">
        <v>2020680010040</v>
      </c>
      <c r="D895" s="14" t="str">
        <f>+VLOOKUP(C895,'[1]PA 2023'!$G$8:$H$84,2,FALSE)</f>
        <v>IMPLEMENTACIÓN DE ACCIONES TENDIENTES A MEJORAR LAS CONDICIONES DE LOS ADULTOS MAYORES DEL MUNICIPIO DE BUCARAMANGA</v>
      </c>
      <c r="E895" s="13" t="s">
        <v>1924</v>
      </c>
      <c r="F895" s="15">
        <v>176</v>
      </c>
      <c r="G895" s="22" t="s">
        <v>1925</v>
      </c>
      <c r="H895" s="21" t="s">
        <v>1187</v>
      </c>
      <c r="I895" s="13" t="s">
        <v>1926</v>
      </c>
      <c r="J895" s="13" t="s">
        <v>1930</v>
      </c>
      <c r="K895" s="16">
        <v>45114</v>
      </c>
      <c r="L895" s="17">
        <v>40000000</v>
      </c>
      <c r="M895" s="17">
        <v>40000000</v>
      </c>
      <c r="N895" s="18">
        <v>0</v>
      </c>
      <c r="O895" s="22" t="s">
        <v>1927</v>
      </c>
      <c r="Q895" s="13">
        <v>8082</v>
      </c>
      <c r="R895" s="23" t="s">
        <v>1931</v>
      </c>
      <c r="S895" s="13" t="s">
        <v>1928</v>
      </c>
      <c r="T895" s="13" t="s">
        <v>16</v>
      </c>
      <c r="U895" s="17">
        <f t="shared" si="28"/>
        <v>40000000</v>
      </c>
    </row>
    <row r="896" spans="1:21" x14ac:dyDescent="0.3">
      <c r="A896" s="13">
        <v>106</v>
      </c>
      <c r="B896" s="13" t="str">
        <f>+VLOOKUP(A896,'[1]PA 2023'!$A$8:$E$84,5)</f>
        <v>Actualizar e implementar la Política Pública de Mujer.</v>
      </c>
      <c r="C896" s="14">
        <v>2020680010106</v>
      </c>
      <c r="D896" s="14" t="str">
        <f>+VLOOKUP(C896,'[1]PA 2023'!$G$8:$H$84,2,FALSE)</f>
        <v>FORTALECIMIENTO DE ESPACIOS DE PARTICIPACIÓN Y PREVENCIÓN DE VIOLENCIAS EN MUJERES Y POBLACIÓN CON ORIENTACIONES SEXUALES E IDENTIDADES DE GÉNERO DIVERSAS DEL MUNICIPIO DE BUCARAMANGA</v>
      </c>
      <c r="E896" s="13" t="s">
        <v>1924</v>
      </c>
      <c r="F896" s="15">
        <v>176</v>
      </c>
      <c r="G896" s="22" t="s">
        <v>1925</v>
      </c>
      <c r="H896" s="21" t="s">
        <v>1187</v>
      </c>
      <c r="I896" s="13" t="s">
        <v>1926</v>
      </c>
      <c r="J896" s="13" t="s">
        <v>1932</v>
      </c>
      <c r="K896" s="16">
        <v>45114</v>
      </c>
      <c r="L896" s="17">
        <v>20000000</v>
      </c>
      <c r="M896" s="17">
        <v>10000000</v>
      </c>
      <c r="N896" s="18">
        <v>0</v>
      </c>
      <c r="O896" s="22" t="s">
        <v>1927</v>
      </c>
      <c r="Q896" s="13">
        <v>8082</v>
      </c>
      <c r="R896" s="23" t="s">
        <v>380</v>
      </c>
      <c r="S896" s="13" t="s">
        <v>1928</v>
      </c>
      <c r="T896" s="13" t="s">
        <v>16</v>
      </c>
      <c r="U896" s="17">
        <f>+M896-N896</f>
        <v>10000000</v>
      </c>
    </row>
    <row r="897" spans="1:21" x14ac:dyDescent="0.3">
      <c r="A897" s="13">
        <v>107</v>
      </c>
      <c r="B897" s="13" t="str">
        <f>+VLOOKUP(A897,'[1]PA 2023'!$A$8:$E$84,5)</f>
        <v>Formular e implementar 1 política pública para la población con orientación sexual e identidad de género diversa.</v>
      </c>
      <c r="C897" s="14">
        <v>2020680010106</v>
      </c>
      <c r="D897" s="14" t="str">
        <f>+VLOOKUP(C897,'[1]PA 2023'!$G$8:$H$84,2,FALSE)</f>
        <v>FORTALECIMIENTO DE ESPACIOS DE PARTICIPACIÓN Y PREVENCIÓN DE VIOLENCIAS EN MUJERES Y POBLACIÓN CON ORIENTACIONES SEXUALES E IDENTIDADES DE GÉNERO DIVERSAS DEL MUNICIPIO DE BUCARAMANGA</v>
      </c>
      <c r="E897" s="13" t="s">
        <v>1924</v>
      </c>
      <c r="F897" s="15">
        <v>176</v>
      </c>
      <c r="G897" s="22" t="s">
        <v>1925</v>
      </c>
      <c r="H897" s="21" t="s">
        <v>1187</v>
      </c>
      <c r="I897" s="13" t="s">
        <v>1926</v>
      </c>
      <c r="J897" s="13" t="s">
        <v>1932</v>
      </c>
      <c r="K897" s="16">
        <v>45114</v>
      </c>
      <c r="L897" s="17">
        <v>0</v>
      </c>
      <c r="M897" s="17">
        <v>10000000</v>
      </c>
      <c r="N897" s="18">
        <v>0</v>
      </c>
      <c r="O897" s="22" t="s">
        <v>1927</v>
      </c>
      <c r="Q897" s="13">
        <v>8082</v>
      </c>
      <c r="R897" s="23" t="s">
        <v>380</v>
      </c>
      <c r="S897" s="13" t="s">
        <v>1928</v>
      </c>
      <c r="T897" s="13" t="s">
        <v>16</v>
      </c>
      <c r="U897" s="17">
        <f t="shared" si="28"/>
        <v>10000000</v>
      </c>
    </row>
    <row r="898" spans="1:21" x14ac:dyDescent="0.3">
      <c r="A898" s="13">
        <v>95</v>
      </c>
      <c r="B898" s="13" t="str">
        <f>+VLOOKUP(A898,'[1]PA 2023'!$A$8:$E$84,5)</f>
        <v>Formular e implementar 1 estrategia que promueva  las actividades psicosociales, actividades artísticas y culturales,   actividades físicas y recreación y actividades productivas en las personas mayores.</v>
      </c>
      <c r="C898" s="14">
        <v>2020680010040</v>
      </c>
      <c r="D898" s="14" t="str">
        <f>+VLOOKUP(C898,'[1]PA 2023'!$G$8:$H$84,2,FALSE)</f>
        <v>IMPLEMENTACIÓN DE ACCIONES TENDIENTES A MEJORAR LAS CONDICIONES DE LOS ADULTOS MAYORES DEL MUNICIPIO DE BUCARAMANGA</v>
      </c>
      <c r="E898" s="13" t="s">
        <v>1933</v>
      </c>
      <c r="F898" s="15">
        <v>3174</v>
      </c>
      <c r="G898" s="21" t="s">
        <v>35</v>
      </c>
      <c r="H898" s="21" t="s">
        <v>36</v>
      </c>
      <c r="I898" s="13" t="s">
        <v>1934</v>
      </c>
      <c r="J898" s="13" t="s">
        <v>372</v>
      </c>
      <c r="K898" s="16">
        <v>45114</v>
      </c>
      <c r="L898" s="17">
        <v>10000000</v>
      </c>
      <c r="M898" s="17">
        <v>10000000</v>
      </c>
      <c r="N898" s="18">
        <f>1600000+2000000</f>
        <v>3600000</v>
      </c>
      <c r="O898" s="22" t="s">
        <v>1935</v>
      </c>
      <c r="Q898" s="13">
        <v>8083</v>
      </c>
      <c r="R898" s="13" t="s">
        <v>374</v>
      </c>
      <c r="S898" s="13" t="s">
        <v>1936</v>
      </c>
      <c r="T898" s="13" t="s">
        <v>16</v>
      </c>
      <c r="U898" s="17">
        <f t="shared" si="28"/>
        <v>6400000</v>
      </c>
    </row>
    <row r="899" spans="1:21" x14ac:dyDescent="0.3">
      <c r="A899" s="13">
        <v>285</v>
      </c>
      <c r="B899" s="13" t="str">
        <f>+VLOOKUP(A899,'[1]PA 2023'!$A$8:$E$84,5)</f>
        <v>Mantener en funcionamiento el 100% de los salones comunales que hacen parte del programa Ágoras.</v>
      </c>
      <c r="C899" s="14">
        <v>2022680010029</v>
      </c>
      <c r="D899" s="14" t="str">
        <f>+VLOOKUP(C899,'[1]PA 2023'!$G$8:$H$84,2,FALSE)</f>
        <v>FORTALECIMIENTO DE LA PARTICIPACIÓN CIUDADANA EN EL MUNICIPIO DE BUCARAMANGA</v>
      </c>
      <c r="E899" s="13" t="s">
        <v>1681</v>
      </c>
      <c r="F899" s="15">
        <v>3179</v>
      </c>
      <c r="G899" s="21" t="s">
        <v>35</v>
      </c>
      <c r="H899" s="21" t="s">
        <v>36</v>
      </c>
      <c r="I899" s="13" t="s">
        <v>1937</v>
      </c>
      <c r="J899" s="13" t="s">
        <v>468</v>
      </c>
      <c r="K899" s="16">
        <v>45114</v>
      </c>
      <c r="L899" s="17">
        <v>9000000</v>
      </c>
      <c r="M899" s="17">
        <v>9000000</v>
      </c>
      <c r="N899" s="18">
        <f>1260000+1800000</f>
        <v>3060000</v>
      </c>
      <c r="O899" s="22" t="s">
        <v>1938</v>
      </c>
      <c r="Q899" s="13">
        <v>8087</v>
      </c>
      <c r="R899" s="13" t="s">
        <v>134</v>
      </c>
      <c r="S899" s="13" t="s">
        <v>1939</v>
      </c>
      <c r="T899" s="13" t="s">
        <v>16</v>
      </c>
      <c r="U899" s="17">
        <f t="shared" si="28"/>
        <v>5940000</v>
      </c>
    </row>
    <row r="900" spans="1:21" x14ac:dyDescent="0.3">
      <c r="A900" s="13">
        <v>98</v>
      </c>
      <c r="B900" s="13" t="str">
        <f>+VLOOKUP(A900,'[1]PA 2023'!$A$8:$E$84,5)</f>
        <v>Mantener el 100% del apoyo logístico a las familias beneficiadas del programa Familias en Acción.</v>
      </c>
      <c r="C900" s="14">
        <v>2020680010072</v>
      </c>
      <c r="D900" s="14" t="str">
        <f>+VLOOKUP(C900,'[1]PA 2023'!$G$8:$H$84,2,FALSE)</f>
        <v>APOYO A LA OPERATIVIDAD DEL PROGRAMA NACIONAL MÁS FAMILIAS EN ACCIÓN EN EL MUNICIPIO DE BUCARAMANGA</v>
      </c>
      <c r="E900" s="13" t="s">
        <v>1940</v>
      </c>
      <c r="F900" s="15" t="s">
        <v>22</v>
      </c>
      <c r="G900" s="22" t="s">
        <v>23</v>
      </c>
      <c r="H900" s="21" t="s">
        <v>23</v>
      </c>
      <c r="I900" s="13" t="s">
        <v>470</v>
      </c>
      <c r="J900" s="13" t="s">
        <v>472</v>
      </c>
      <c r="K900" s="16">
        <v>45117</v>
      </c>
      <c r="L900" s="17">
        <v>54501.67</v>
      </c>
      <c r="M900" s="17">
        <v>54501.67</v>
      </c>
      <c r="N900" s="18">
        <v>54501.67</v>
      </c>
      <c r="O900" s="15" t="s">
        <v>23</v>
      </c>
      <c r="Q900" s="13">
        <v>8152</v>
      </c>
      <c r="R900" s="23" t="s">
        <v>473</v>
      </c>
      <c r="S900" s="13" t="s">
        <v>471</v>
      </c>
      <c r="T900" s="13" t="s">
        <v>16</v>
      </c>
      <c r="U900" s="17">
        <f t="shared" si="28"/>
        <v>0</v>
      </c>
    </row>
    <row r="901" spans="1:21" x14ac:dyDescent="0.3">
      <c r="A901" s="13">
        <v>93</v>
      </c>
      <c r="B901" s="13" t="str">
        <f>+VLOOKUP(A901,'[1]PA 2023'!$A$8:$E$84,5)</f>
        <v>Mantener en funcionamiento los 3 Centros Vida con la prestacion de servicios integrales y/o dotacion de los mismos cumpliendo con la oferta institucional.</v>
      </c>
      <c r="C901" s="14">
        <v>2020680010040</v>
      </c>
      <c r="D901" s="14" t="str">
        <f>+VLOOKUP(C901,'[1]PA 2023'!$G$8:$H$84,2,FALSE)</f>
        <v>IMPLEMENTACIÓN DE ACCIONES TENDIENTES A MEJORAR LAS CONDICIONES DE LOS ADULTOS MAYORES DEL MUNICIPIO DE BUCARAMANGA</v>
      </c>
      <c r="E901" s="13" t="s">
        <v>1940</v>
      </c>
      <c r="F901" s="15" t="s">
        <v>22</v>
      </c>
      <c r="G901" s="22" t="s">
        <v>23</v>
      </c>
      <c r="H901" s="21" t="s">
        <v>23</v>
      </c>
      <c r="I901" s="13" t="s">
        <v>470</v>
      </c>
      <c r="J901" s="13" t="s">
        <v>25</v>
      </c>
      <c r="K901" s="16">
        <v>45117</v>
      </c>
      <c r="L901" s="17">
        <v>79088.55</v>
      </c>
      <c r="M901" s="17">
        <v>79088.55</v>
      </c>
      <c r="N901" s="18">
        <v>79088.55</v>
      </c>
      <c r="O901" s="15" t="s">
        <v>23</v>
      </c>
      <c r="Q901" s="13">
        <v>8152</v>
      </c>
      <c r="R901" s="23" t="s">
        <v>26</v>
      </c>
      <c r="S901" s="13" t="s">
        <v>471</v>
      </c>
      <c r="T901" s="13" t="s">
        <v>16</v>
      </c>
      <c r="U901" s="17">
        <f t="shared" si="28"/>
        <v>0</v>
      </c>
    </row>
    <row r="902" spans="1:21" x14ac:dyDescent="0.3">
      <c r="A902" s="13">
        <v>283</v>
      </c>
      <c r="B902" s="13" t="str">
        <f>+VLOOKUP(A902,'[1]PA 2023'!$A$8:$E$84,5)</f>
        <v>Formular e implementar 1 estrategia que fortalezca la democracia participativa (Ley 1757 de 2015).</v>
      </c>
      <c r="C902" s="14">
        <v>2022680010029</v>
      </c>
      <c r="D902" s="14" t="str">
        <f>+VLOOKUP(C902,'[1]PA 2023'!$G$8:$H$84,2,FALSE)</f>
        <v>FORTALECIMIENTO DE LA PARTICIPACIÓN CIUDADANA EN EL MUNICIPIO DE BUCARAMANGA</v>
      </c>
      <c r="E902" s="13" t="s">
        <v>1940</v>
      </c>
      <c r="F902" s="15" t="s">
        <v>22</v>
      </c>
      <c r="G902" s="22" t="s">
        <v>23</v>
      </c>
      <c r="H902" s="21" t="s">
        <v>23</v>
      </c>
      <c r="I902" s="13" t="s">
        <v>470</v>
      </c>
      <c r="J902" s="13" t="s">
        <v>468</v>
      </c>
      <c r="K902" s="16">
        <v>45117</v>
      </c>
      <c r="L902" s="17">
        <v>54501.67</v>
      </c>
      <c r="M902" s="17">
        <v>54501.67</v>
      </c>
      <c r="N902" s="18">
        <v>54501.67</v>
      </c>
      <c r="O902" s="15" t="s">
        <v>23</v>
      </c>
      <c r="Q902" s="13">
        <v>8152</v>
      </c>
      <c r="R902" s="23" t="s">
        <v>134</v>
      </c>
      <c r="S902" s="13" t="s">
        <v>471</v>
      </c>
      <c r="T902" s="13" t="s">
        <v>16</v>
      </c>
      <c r="U902" s="17">
        <f t="shared" si="28"/>
        <v>0</v>
      </c>
    </row>
    <row r="903" spans="1:21" x14ac:dyDescent="0.3">
      <c r="A903" s="13">
        <v>285</v>
      </c>
      <c r="B903" s="13" t="str">
        <f>+VLOOKUP(A903,'[1]PA 2023'!$A$8:$E$84,5)</f>
        <v>Mantener en funcionamiento el 100% de los salones comunales que hacen parte del programa Ágoras.</v>
      </c>
      <c r="C903" s="14">
        <v>2022680010029</v>
      </c>
      <c r="D903" s="14" t="str">
        <f>+VLOOKUP(C903,'[1]PA 2023'!$G$8:$H$84,2,FALSE)</f>
        <v>FORTALECIMIENTO DE LA PARTICIPACIÓN CIUDADANA EN EL MUNICIPIO DE BUCARAMANGA</v>
      </c>
      <c r="E903" s="13" t="s">
        <v>1941</v>
      </c>
      <c r="F903" s="15" t="s">
        <v>22</v>
      </c>
      <c r="G903" s="22" t="s">
        <v>23</v>
      </c>
      <c r="H903" s="21" t="s">
        <v>23</v>
      </c>
      <c r="I903" s="13" t="s">
        <v>470</v>
      </c>
      <c r="J903" s="13" t="s">
        <v>1130</v>
      </c>
      <c r="K903" s="16">
        <v>45117</v>
      </c>
      <c r="L903" s="17">
        <v>994061</v>
      </c>
      <c r="M903" s="17">
        <v>994061</v>
      </c>
      <c r="N903" s="18">
        <v>994061</v>
      </c>
      <c r="O903" s="15" t="s">
        <v>23</v>
      </c>
      <c r="Q903" s="13">
        <v>8195</v>
      </c>
      <c r="R903" s="13" t="s">
        <v>134</v>
      </c>
      <c r="S903" s="13" t="s">
        <v>471</v>
      </c>
      <c r="T903" s="13" t="s">
        <v>16</v>
      </c>
      <c r="U903" s="17">
        <f t="shared" si="28"/>
        <v>0</v>
      </c>
    </row>
    <row r="904" spans="1:21" x14ac:dyDescent="0.3">
      <c r="A904" s="13">
        <v>285</v>
      </c>
      <c r="B904" s="13" t="str">
        <f>+VLOOKUP(A904,'[1]PA 2023'!$A$8:$E$84,5)</f>
        <v>Mantener en funcionamiento el 100% de los salones comunales que hacen parte del programa Ágoras.</v>
      </c>
      <c r="C904" s="14">
        <v>2022680010029</v>
      </c>
      <c r="D904" s="14" t="str">
        <f>+VLOOKUP(C904,'[1]PA 2023'!$G$8:$H$84,2,FALSE)</f>
        <v>FORTALECIMIENTO DE LA PARTICIPACIÓN CIUDADANA EN EL MUNICIPIO DE BUCARAMANGA</v>
      </c>
      <c r="E904" s="13" t="s">
        <v>1942</v>
      </c>
      <c r="F904" s="15" t="s">
        <v>22</v>
      </c>
      <c r="G904" s="22" t="s">
        <v>23</v>
      </c>
      <c r="H904" s="21" t="s">
        <v>23</v>
      </c>
      <c r="I904" s="13" t="s">
        <v>901</v>
      </c>
      <c r="J904" s="13" t="s">
        <v>1130</v>
      </c>
      <c r="K904" s="16">
        <v>45117</v>
      </c>
      <c r="L904" s="17">
        <v>84585</v>
      </c>
      <c r="M904" s="17">
        <v>84585</v>
      </c>
      <c r="N904" s="18">
        <v>84585</v>
      </c>
      <c r="O904" s="15" t="s">
        <v>23</v>
      </c>
      <c r="Q904" s="13">
        <v>8196</v>
      </c>
      <c r="R904" s="13" t="s">
        <v>134</v>
      </c>
      <c r="S904" s="13" t="s">
        <v>902</v>
      </c>
      <c r="T904" s="13" t="s">
        <v>16</v>
      </c>
      <c r="U904" s="17">
        <f t="shared" si="28"/>
        <v>0</v>
      </c>
    </row>
    <row r="905" spans="1:21" x14ac:dyDescent="0.3">
      <c r="A905" s="13">
        <v>93</v>
      </c>
      <c r="B905" s="13" t="str">
        <f>+VLOOKUP(A905,'[1]PA 2023'!$A$8:$E$84,5)</f>
        <v>Mantener en funcionamiento los 3 Centros Vida con la prestacion de servicios integrales y/o dotacion de los mismos cumpliendo con la oferta institucional.</v>
      </c>
      <c r="C905" s="14">
        <v>2020680010040</v>
      </c>
      <c r="D905" s="14" t="str">
        <f>+VLOOKUP(C905,'[1]PA 2023'!$G$8:$H$84,2,FALSE)</f>
        <v>IMPLEMENTACIÓN DE ACCIONES TENDIENTES A MEJORAR LAS CONDICIONES DE LOS ADULTOS MAYORES DEL MUNICIPIO DE BUCARAMANGA</v>
      </c>
      <c r="E905" s="13" t="s">
        <v>1943</v>
      </c>
      <c r="F905" s="15" t="s">
        <v>22</v>
      </c>
      <c r="G905" s="22" t="s">
        <v>23</v>
      </c>
      <c r="H905" s="21" t="s">
        <v>23</v>
      </c>
      <c r="I905" s="13" t="s">
        <v>32</v>
      </c>
      <c r="J905" s="13" t="s">
        <v>25</v>
      </c>
      <c r="K905" s="16">
        <v>45117</v>
      </c>
      <c r="L905" s="17">
        <v>48200</v>
      </c>
      <c r="M905" s="17">
        <v>48200</v>
      </c>
      <c r="N905" s="18">
        <v>48200</v>
      </c>
      <c r="O905" s="15" t="s">
        <v>23</v>
      </c>
      <c r="Q905" s="13">
        <v>8197</v>
      </c>
      <c r="R905" s="13" t="s">
        <v>26</v>
      </c>
      <c r="S905" s="13" t="s">
        <v>33</v>
      </c>
      <c r="T905" s="13" t="s">
        <v>16</v>
      </c>
      <c r="U905" s="17">
        <f t="shared" si="28"/>
        <v>0</v>
      </c>
    </row>
    <row r="906" spans="1:21" x14ac:dyDescent="0.3">
      <c r="A906" s="13">
        <v>300</v>
      </c>
      <c r="B906" s="13" t="str">
        <f>+VLOOKUP(A906,'[1]PA 2023'!$A$8:$E$84,5)</f>
        <v>Mantener el 100% de los programas que desarrolla la Administración Central.</v>
      </c>
      <c r="C906" s="14">
        <v>2020680010025</v>
      </c>
      <c r="D906" s="14" t="str">
        <f>+VLOOKUP(C906,'[1]PA 2023'!$G$8:$H$84,2,FALSE)</f>
        <v>MEJORAMIENTO DE LOS PROCESOS TRANSVERSALES PARA UNA ADMINISTRACIÓN PUBLICA MODERNA Y EFICIENTE EN LA SECRETARÍA DE DESARROLLO SOCIAL DEL MUNICIPIO BUCARAMANGA</v>
      </c>
      <c r="E906" s="13" t="s">
        <v>1944</v>
      </c>
      <c r="F906" s="15">
        <v>3183</v>
      </c>
      <c r="G906" s="21" t="s">
        <v>43</v>
      </c>
      <c r="H906" s="21" t="s">
        <v>36</v>
      </c>
      <c r="I906" s="13" t="s">
        <v>1945</v>
      </c>
      <c r="J906" s="13" t="s">
        <v>61</v>
      </c>
      <c r="K906" s="16">
        <v>45117</v>
      </c>
      <c r="L906" s="17">
        <v>300000</v>
      </c>
      <c r="M906" s="17">
        <v>300000</v>
      </c>
      <c r="N906" s="18">
        <v>0</v>
      </c>
      <c r="O906" s="22" t="s">
        <v>1946</v>
      </c>
      <c r="Q906" s="13">
        <v>8211</v>
      </c>
      <c r="R906" s="23" t="s">
        <v>63</v>
      </c>
      <c r="S906" s="13" t="s">
        <v>1947</v>
      </c>
      <c r="T906" s="13" t="s">
        <v>16</v>
      </c>
      <c r="U906" s="17">
        <f t="shared" si="28"/>
        <v>300000</v>
      </c>
    </row>
    <row r="907" spans="1:21" x14ac:dyDescent="0.3">
      <c r="A907" s="13">
        <v>300</v>
      </c>
      <c r="B907" s="13" t="str">
        <f>+VLOOKUP(A907,'[1]PA 2023'!$A$8:$E$84,5)</f>
        <v>Mantener el 100% de los programas que desarrolla la Administración Central.</v>
      </c>
      <c r="C907" s="14">
        <v>2023680010016</v>
      </c>
      <c r="D907" s="14" t="str">
        <f>+VLOOKUP(C907,'[1]PA 2023'!$G$8:$H$84,2,FALSE)</f>
        <v>APOYO A LA GESTIÓN ADMINISTRATIVA Y PROCESOS TRANSVERSALES DE LA SECRETARIA DE DESARROLLO SOCIAL DEL MUNICIPIO DE BUCARAMANGA</v>
      </c>
      <c r="E907" s="13" t="s">
        <v>1944</v>
      </c>
      <c r="F907" s="15">
        <v>3183</v>
      </c>
      <c r="G907" s="21" t="s">
        <v>43</v>
      </c>
      <c r="H907" s="21" t="s">
        <v>36</v>
      </c>
      <c r="I907" s="13" t="s">
        <v>1945</v>
      </c>
      <c r="J907" s="13" t="s">
        <v>1414</v>
      </c>
      <c r="K907" s="16">
        <v>45117</v>
      </c>
      <c r="L907" s="17">
        <v>22200000</v>
      </c>
      <c r="M907" s="17">
        <v>22200000</v>
      </c>
      <c r="N907" s="18">
        <f>3150000+4500000</f>
        <v>7650000</v>
      </c>
      <c r="O907" s="22" t="s">
        <v>1946</v>
      </c>
      <c r="Q907" s="13">
        <v>8211</v>
      </c>
      <c r="R907" s="23" t="s">
        <v>1416</v>
      </c>
      <c r="S907" s="13" t="s">
        <v>1947</v>
      </c>
      <c r="T907" s="13" t="s">
        <v>16</v>
      </c>
      <c r="U907" s="17">
        <f t="shared" si="28"/>
        <v>14550000</v>
      </c>
    </row>
    <row r="908" spans="1:21" x14ac:dyDescent="0.3">
      <c r="A908" s="13">
        <v>97</v>
      </c>
      <c r="B908" s="13" t="str">
        <f>+VLOOKUP(A908,'[1]PA 2023'!$A$8:$E$84,5)</f>
        <v>Mantener el servicio de acceso gratuito a espacios de recreación y cultura a familias inscritas en el programa Familias en Acción.</v>
      </c>
      <c r="C908" s="14">
        <v>2022680010036</v>
      </c>
      <c r="D908" s="14" t="str">
        <f>+VLOOKUP(C908,'[1]PA 2023'!$G$8:$H$84,2,FALSE)</f>
        <v>IMPLEMENTACIÓN DE ACCIONES DE ASISTENCIA SOCIAL ORIENTADAS A LA POBLACIÓN AFECTADA POR LAS DIFERENTES EMERGENCIAS SOCIALES, NATURALES, SANITARIAS ANTRÓPICAS O EN SITUACIÓN DE VULNERABILIDAD EN EL MUNICIPIO DE BUCARAMANGA</v>
      </c>
      <c r="E908" s="13" t="s">
        <v>1948</v>
      </c>
      <c r="F908" s="15">
        <v>179</v>
      </c>
      <c r="G908" s="22" t="s">
        <v>1949</v>
      </c>
      <c r="H908" s="21" t="s">
        <v>1901</v>
      </c>
      <c r="I908" s="13" t="s">
        <v>1950</v>
      </c>
      <c r="J908" s="13" t="s">
        <v>1951</v>
      </c>
      <c r="K908" s="16">
        <v>45118</v>
      </c>
      <c r="L908" s="17">
        <v>40000000</v>
      </c>
      <c r="M908" s="17">
        <v>40000000</v>
      </c>
      <c r="N908" s="18">
        <v>2221344</v>
      </c>
      <c r="O908" s="22" t="s">
        <v>1952</v>
      </c>
      <c r="Q908" s="13">
        <v>8293</v>
      </c>
      <c r="R908" s="23" t="s">
        <v>473</v>
      </c>
      <c r="S908" s="13" t="s">
        <v>1953</v>
      </c>
      <c r="T908" s="13" t="s">
        <v>16</v>
      </c>
      <c r="U908" s="17">
        <f t="shared" si="28"/>
        <v>37778656</v>
      </c>
    </row>
    <row r="909" spans="1:21" x14ac:dyDescent="0.3">
      <c r="A909" s="13">
        <v>95</v>
      </c>
      <c r="B909" s="13" t="str">
        <f>+VLOOKUP(A909,'[1]PA 2023'!$A$8:$E$84,5)</f>
        <v>Formular e implementar 1 estrategia que promueva  las actividades psicosociales, actividades artísticas y culturales,   actividades físicas y recreación y actividades productivas en las personas mayores.</v>
      </c>
      <c r="C909" s="14">
        <v>2020680010040</v>
      </c>
      <c r="D909" s="14" t="str">
        <f>+VLOOKUP(C909,'[1]PA 2023'!$G$8:$H$84,2,FALSE)</f>
        <v>IMPLEMENTACIÓN DE ACCIONES TENDIENTES A MEJORAR LAS CONDICIONES DE LOS ADULTOS MAYORES DEL MUNICIPIO DE BUCARAMANGA</v>
      </c>
      <c r="E909" s="13" t="s">
        <v>1948</v>
      </c>
      <c r="F909" s="15">
        <v>179</v>
      </c>
      <c r="G909" s="22" t="s">
        <v>1949</v>
      </c>
      <c r="H909" s="21" t="s">
        <v>1901</v>
      </c>
      <c r="I909" s="13" t="s">
        <v>1950</v>
      </c>
      <c r="J909" s="13" t="s">
        <v>1846</v>
      </c>
      <c r="K909" s="16">
        <v>45118</v>
      </c>
      <c r="L909" s="17">
        <v>60000000</v>
      </c>
      <c r="M909" s="17">
        <v>60000000</v>
      </c>
      <c r="N909" s="18">
        <v>0</v>
      </c>
      <c r="O909" s="22" t="s">
        <v>1952</v>
      </c>
      <c r="Q909" s="13">
        <v>8293</v>
      </c>
      <c r="R909" s="23" t="s">
        <v>26</v>
      </c>
      <c r="S909" s="13" t="s">
        <v>1953</v>
      </c>
      <c r="T909" s="13" t="s">
        <v>16</v>
      </c>
      <c r="U909" s="17">
        <f t="shared" si="28"/>
        <v>60000000</v>
      </c>
    </row>
    <row r="910" spans="1:21" x14ac:dyDescent="0.3">
      <c r="A910" s="13">
        <v>80</v>
      </c>
      <c r="B910" s="13" t="str">
        <f>+VLOOKUP(A910,'[1]PA 2023'!$A$8:$E$84,5)</f>
        <v>Brindar 150.000 entradas gratuitas de niñas, niños y adolescentes y sus familias a  eventos artísticos, culturales, lúdicos y recreativos.</v>
      </c>
      <c r="C910" s="14">
        <v>2021680010003</v>
      </c>
      <c r="D910" s="14" t="str">
        <f>+VLOOKUP(C910,'[1]PA 2023'!$G$8:$H$84,2,FALSE)</f>
        <v>IMPLEMENTACIÓN DE ESTRATEGIAS PSICOPEDAGÓGICAS PARA LA DISMINUCIÓN DE FACTORES DE RIESGO EN NIÑOS, NIÑAS Y ADOLESCENTES EN EL MUNICIPIO DE BUCARAMANGA</v>
      </c>
      <c r="E910" s="13" t="s">
        <v>1948</v>
      </c>
      <c r="F910" s="15">
        <v>179</v>
      </c>
      <c r="G910" s="22" t="s">
        <v>1949</v>
      </c>
      <c r="H910" s="21" t="s">
        <v>1901</v>
      </c>
      <c r="I910" s="13" t="s">
        <v>1950</v>
      </c>
      <c r="J910" s="13" t="s">
        <v>1954</v>
      </c>
      <c r="K910" s="16">
        <v>45118</v>
      </c>
      <c r="L910" s="17">
        <v>50000000</v>
      </c>
      <c r="M910" s="17">
        <v>50000000</v>
      </c>
      <c r="N910" s="18">
        <v>6531036</v>
      </c>
      <c r="O910" s="22" t="s">
        <v>1952</v>
      </c>
      <c r="Q910" s="13">
        <v>8293</v>
      </c>
      <c r="R910" s="23" t="s">
        <v>164</v>
      </c>
      <c r="S910" s="13" t="s">
        <v>1953</v>
      </c>
      <c r="T910" s="13" t="s">
        <v>16</v>
      </c>
      <c r="U910" s="17">
        <f t="shared" si="28"/>
        <v>43468964</v>
      </c>
    </row>
    <row r="911" spans="1:21" x14ac:dyDescent="0.3">
      <c r="A911" s="13">
        <v>71</v>
      </c>
      <c r="B911" s="13" t="str">
        <f>+VLOOKUP(A911,'[1]PA 2023'!$A$8:$E$84,5)</f>
        <v>Formular e implementar 1 estrategia de corresponsabilidad en la garantía de derechos, la prevención de vulneración, amenaza o riesgo en el ámbito familiar, comunitario e institucional.</v>
      </c>
      <c r="C911" s="14">
        <v>2022680010056</v>
      </c>
      <c r="D911" s="14" t="str">
        <f>+VLOOKUP(C911,'[1]PA 2023'!$G$8:$H$84,2,FALSE)</f>
        <v>APOYO EN LOS PROCESOS DE ATENCIÓN INTEGRAL DE LOS NIÑOS Y NIÑAS EN EL ESPACIO DE CUIDADO Y ALBERGUE "CASA BÚHO" EN EL MUNICIPIO DE BUCARAMANGA</v>
      </c>
      <c r="E911" s="13" t="s">
        <v>1955</v>
      </c>
      <c r="F911" s="15" t="s">
        <v>22</v>
      </c>
      <c r="G911" s="22" t="s">
        <v>23</v>
      </c>
      <c r="H911" s="21" t="s">
        <v>23</v>
      </c>
      <c r="I911" s="13" t="s">
        <v>29</v>
      </c>
      <c r="J911" s="13" t="s">
        <v>970</v>
      </c>
      <c r="K911" s="16">
        <v>45120</v>
      </c>
      <c r="L911" s="17">
        <v>26320</v>
      </c>
      <c r="M911" s="17">
        <v>26320</v>
      </c>
      <c r="N911" s="18">
        <v>26320</v>
      </c>
      <c r="O911" s="15" t="s">
        <v>23</v>
      </c>
      <c r="Q911" s="13">
        <v>8334</v>
      </c>
      <c r="R911" s="13" t="s">
        <v>170</v>
      </c>
      <c r="S911" s="13" t="s">
        <v>30</v>
      </c>
      <c r="T911" s="13" t="s">
        <v>16</v>
      </c>
      <c r="U911" s="17">
        <f t="shared" si="28"/>
        <v>0</v>
      </c>
    </row>
    <row r="912" spans="1:21" x14ac:dyDescent="0.3">
      <c r="A912" s="13">
        <v>93</v>
      </c>
      <c r="B912" s="13" t="str">
        <f>+VLOOKUP(A912,'[1]PA 2023'!$A$8:$E$84,5)</f>
        <v>Mantener en funcionamiento los 3 Centros Vida con la prestacion de servicios integrales y/o dotacion de los mismos cumpliendo con la oferta institucional.</v>
      </c>
      <c r="C912" s="14">
        <v>2020680010040</v>
      </c>
      <c r="D912" s="14" t="str">
        <f>+VLOOKUP(C912,'[1]PA 2023'!$G$8:$H$84,2,FALSE)</f>
        <v>IMPLEMENTACIÓN DE ACCIONES TENDIENTES A MEJORAR LAS CONDICIONES DE LOS ADULTOS MAYORES DEL MUNICIPIO DE BUCARAMANGA</v>
      </c>
      <c r="E912" s="13" t="s">
        <v>1956</v>
      </c>
      <c r="F912" s="15" t="s">
        <v>22</v>
      </c>
      <c r="G912" s="22" t="s">
        <v>23</v>
      </c>
      <c r="H912" s="21" t="s">
        <v>23</v>
      </c>
      <c r="I912" s="13" t="s">
        <v>29</v>
      </c>
      <c r="J912" s="13" t="s">
        <v>25</v>
      </c>
      <c r="K912" s="16">
        <v>45120</v>
      </c>
      <c r="L912" s="17">
        <v>1345720</v>
      </c>
      <c r="M912" s="17">
        <v>1345720</v>
      </c>
      <c r="N912" s="18">
        <v>1345720</v>
      </c>
      <c r="O912" s="15" t="s">
        <v>23</v>
      </c>
      <c r="Q912" s="13">
        <v>8335</v>
      </c>
      <c r="R912" s="13" t="s">
        <v>26</v>
      </c>
      <c r="S912" s="13" t="s">
        <v>30</v>
      </c>
      <c r="T912" s="13" t="s">
        <v>16</v>
      </c>
      <c r="U912" s="17">
        <f t="shared" si="28"/>
        <v>0</v>
      </c>
    </row>
    <row r="913" spans="1:21" x14ac:dyDescent="0.3">
      <c r="A913" s="13">
        <v>71</v>
      </c>
      <c r="B913" s="13" t="str">
        <f>+VLOOKUP(A913,'[1]PA 2023'!$A$8:$E$84,5)</f>
        <v>Formular e implementar 1 estrategia de corresponsabilidad en la garantía de derechos, la prevención de vulneración, amenaza o riesgo en el ámbito familiar, comunitario e institucional.</v>
      </c>
      <c r="C913" s="14">
        <v>2021680010003</v>
      </c>
      <c r="D913" s="14" t="str">
        <f>+VLOOKUP(C913,'[1]PA 2023'!$G$8:$H$84,2,FALSE)</f>
        <v>IMPLEMENTACIÓN DE ESTRATEGIAS PSICOPEDAGÓGICAS PARA LA DISMINUCIÓN DE FACTORES DE RIESGO EN NIÑOS, NIÑAS Y ADOLESCENTES EN EL MUNICIPIO DE BUCARAMANGA</v>
      </c>
      <c r="E913" s="13" t="s">
        <v>1695</v>
      </c>
      <c r="F913" s="15">
        <v>3203</v>
      </c>
      <c r="G913" s="21" t="s">
        <v>35</v>
      </c>
      <c r="H913" s="21" t="s">
        <v>36</v>
      </c>
      <c r="I913" s="13" t="s">
        <v>1957</v>
      </c>
      <c r="J913" s="13" t="s">
        <v>212</v>
      </c>
      <c r="K913" s="16">
        <v>45120</v>
      </c>
      <c r="L913" s="17">
        <v>15000000</v>
      </c>
      <c r="M913" s="17">
        <v>15000000</v>
      </c>
      <c r="N913" s="18">
        <f>1800000+3000000</f>
        <v>4800000</v>
      </c>
      <c r="O913" s="22" t="s">
        <v>1958</v>
      </c>
      <c r="Q913" s="13">
        <v>8339</v>
      </c>
      <c r="R913" s="13" t="s">
        <v>164</v>
      </c>
      <c r="S913" s="13" t="s">
        <v>1959</v>
      </c>
      <c r="T913" s="13" t="s">
        <v>16</v>
      </c>
      <c r="U913" s="17">
        <f t="shared" si="28"/>
        <v>10200000</v>
      </c>
    </row>
    <row r="914" spans="1:21" x14ac:dyDescent="0.3">
      <c r="A914" s="13">
        <v>99</v>
      </c>
      <c r="B914" s="13" t="str">
        <f>+VLOOKUP(A914,'[1]PA 2023'!$A$8:$E$84,5)</f>
        <v>Formular e implementar 1 estrategia para brindar asistencia social a la población afectada por las diferentes emergencias y particularmente COVID-19.</v>
      </c>
      <c r="C914" s="14">
        <v>2022680010036</v>
      </c>
      <c r="D914" s="14" t="str">
        <f>+VLOOKUP(C914,'[1]PA 2023'!$G$8:$H$84,2,FALSE)</f>
        <v>IMPLEMENTACIÓN DE ACCIONES DE ASISTENCIA SOCIAL ORIENTADAS A LA POBLACIÓN AFECTADA POR LAS DIFERENTES EMERGENCIAS SOCIALES, NATURALES, SANITARIAS ANTRÓPICAS O EN SITUACIÓN DE VULNERABILIDAD EN EL MUNICIPIO DE BUCARAMANGA</v>
      </c>
      <c r="E914" s="13" t="s">
        <v>1803</v>
      </c>
      <c r="F914" s="15">
        <v>3202</v>
      </c>
      <c r="G914" s="22" t="s">
        <v>1960</v>
      </c>
      <c r="H914" s="21" t="s">
        <v>36</v>
      </c>
      <c r="I914" s="13" t="s">
        <v>1322</v>
      </c>
      <c r="J914" s="13" t="s">
        <v>1498</v>
      </c>
      <c r="K914" s="16">
        <v>45120</v>
      </c>
      <c r="L914" s="17">
        <v>9000000</v>
      </c>
      <c r="M914" s="17">
        <v>9000000</v>
      </c>
      <c r="N914" s="18">
        <f>1080000+1800000</f>
        <v>2880000</v>
      </c>
      <c r="O914" s="22" t="s">
        <v>1961</v>
      </c>
      <c r="Q914" s="13">
        <v>8340</v>
      </c>
      <c r="R914" s="13" t="s">
        <v>1500</v>
      </c>
      <c r="S914" s="13" t="s">
        <v>1324</v>
      </c>
      <c r="T914" s="13" t="s">
        <v>16</v>
      </c>
      <c r="U914" s="17">
        <f t="shared" si="28"/>
        <v>6120000</v>
      </c>
    </row>
    <row r="915" spans="1:21" x14ac:dyDescent="0.3">
      <c r="A915" s="13">
        <v>205</v>
      </c>
      <c r="B915" s="13" t="str">
        <f>+VLOOKUP(A915,'[1]PA 2023'!$A$8:$E$84,5)</f>
        <v>Mantener 4 mercadillos campesinos.</v>
      </c>
      <c r="C915" s="14">
        <v>2020680010123</v>
      </c>
      <c r="D915" s="14" t="str">
        <f>+VLOOKUP(C915,'[1]PA 2023'!$G$8:$H$84,2,FALSE)</f>
        <v>FORTALECIMIENTO DE LA PRODUCTIVIDAD Y COMPETITIVIDAD AGROPECUARIA EN EL SECTOR RURAL DEL MUNICIPIO DE BUCARAMANGA</v>
      </c>
      <c r="E915" s="13" t="s">
        <v>1962</v>
      </c>
      <c r="F915" s="15">
        <v>3220</v>
      </c>
      <c r="G915" s="22" t="s">
        <v>1960</v>
      </c>
      <c r="H915" s="21" t="s">
        <v>36</v>
      </c>
      <c r="I915" s="13" t="s">
        <v>1963</v>
      </c>
      <c r="J915" s="13" t="s">
        <v>665</v>
      </c>
      <c r="K915" s="16">
        <v>45121</v>
      </c>
      <c r="L915" s="17">
        <v>10000000</v>
      </c>
      <c r="M915" s="17">
        <v>10000000</v>
      </c>
      <c r="N915" s="18">
        <f>1133333.33+2000000</f>
        <v>3133333.33</v>
      </c>
      <c r="O915" s="22" t="s">
        <v>1964</v>
      </c>
      <c r="Q915" s="13">
        <v>8394</v>
      </c>
      <c r="R915" s="13" t="s">
        <v>667</v>
      </c>
      <c r="S915" s="13" t="s">
        <v>1965</v>
      </c>
      <c r="T915" s="13" t="s">
        <v>16</v>
      </c>
      <c r="U915" s="17">
        <f t="shared" si="28"/>
        <v>6866666.6699999999</v>
      </c>
    </row>
    <row r="916" spans="1:21" x14ac:dyDescent="0.3">
      <c r="A916" s="13">
        <v>286</v>
      </c>
      <c r="B916" s="13" t="str">
        <f>+VLOOKUP(A916,'[1]PA 2023'!$A$8:$E$84,5)</f>
        <v>Mantener el beneficio al 100% de los ediles con pago de EPS, ARL, póliza de vida y dotación.</v>
      </c>
      <c r="C916" s="14">
        <v>2022680010029</v>
      </c>
      <c r="D916" s="14" t="str">
        <f>+VLOOKUP(C916,'[1]PA 2023'!$G$8:$H$84,2,FALSE)</f>
        <v>FORTALECIMIENTO DE LA PARTICIPACIÓN CIUDADANA EN EL MUNICIPIO DE BUCARAMANGA</v>
      </c>
      <c r="E916" s="13" t="s">
        <v>1966</v>
      </c>
      <c r="F916" s="15" t="s">
        <v>22</v>
      </c>
      <c r="G916" s="22" t="s">
        <v>23</v>
      </c>
      <c r="H916" s="21" t="s">
        <v>23</v>
      </c>
      <c r="I916" s="13" t="s">
        <v>132</v>
      </c>
      <c r="J916" s="13" t="s">
        <v>1603</v>
      </c>
      <c r="K916" s="16">
        <v>45121</v>
      </c>
      <c r="L916" s="17">
        <v>719800</v>
      </c>
      <c r="M916" s="17">
        <v>719800</v>
      </c>
      <c r="N916" s="18">
        <v>719800</v>
      </c>
      <c r="O916" s="15" t="s">
        <v>23</v>
      </c>
      <c r="Q916" s="13">
        <v>8395</v>
      </c>
      <c r="R916" s="13" t="s">
        <v>1462</v>
      </c>
      <c r="S916" s="13" t="s">
        <v>135</v>
      </c>
      <c r="T916" s="13" t="s">
        <v>16</v>
      </c>
      <c r="U916" s="17">
        <f t="shared" si="28"/>
        <v>0</v>
      </c>
    </row>
    <row r="917" spans="1:21" x14ac:dyDescent="0.3">
      <c r="A917" s="13">
        <v>286</v>
      </c>
      <c r="B917" s="13" t="str">
        <f>+VLOOKUP(A917,'[1]PA 2023'!$A$8:$E$84,5)</f>
        <v>Mantener el beneficio al 100% de los ediles con pago de EPS, ARL, póliza de vida y dotación.</v>
      </c>
      <c r="C917" s="14">
        <v>2022680010029</v>
      </c>
      <c r="D917" s="14" t="str">
        <f>+VLOOKUP(C917,'[1]PA 2023'!$G$8:$H$84,2,FALSE)</f>
        <v>FORTALECIMIENTO DE LA PARTICIPACIÓN CIUDADANA EN EL MUNICIPIO DE BUCARAMANGA</v>
      </c>
      <c r="E917" s="13" t="s">
        <v>1967</v>
      </c>
      <c r="F917" s="15" t="s">
        <v>22</v>
      </c>
      <c r="G917" s="22" t="s">
        <v>23</v>
      </c>
      <c r="H917" s="21" t="s">
        <v>23</v>
      </c>
      <c r="I917" s="13" t="s">
        <v>137</v>
      </c>
      <c r="J917" s="13" t="s">
        <v>1603</v>
      </c>
      <c r="K917" s="16">
        <v>45121</v>
      </c>
      <c r="L917" s="17">
        <v>870000</v>
      </c>
      <c r="M917" s="17">
        <v>870000</v>
      </c>
      <c r="N917" s="18">
        <v>870000</v>
      </c>
      <c r="O917" s="15" t="s">
        <v>23</v>
      </c>
      <c r="Q917" s="13">
        <v>8396</v>
      </c>
      <c r="R917" s="13" t="s">
        <v>1462</v>
      </c>
      <c r="S917" s="13" t="s">
        <v>138</v>
      </c>
      <c r="T917" s="13" t="s">
        <v>16</v>
      </c>
      <c r="U917" s="17">
        <f t="shared" si="28"/>
        <v>0</v>
      </c>
    </row>
    <row r="918" spans="1:21" x14ac:dyDescent="0.3">
      <c r="A918" s="13">
        <v>286</v>
      </c>
      <c r="B918" s="13" t="str">
        <f>+VLOOKUP(A918,'[1]PA 2023'!$A$8:$E$84,5)</f>
        <v>Mantener el beneficio al 100% de los ediles con pago de EPS, ARL, póliza de vida y dotación.</v>
      </c>
      <c r="C918" s="14">
        <v>2022680010029</v>
      </c>
      <c r="D918" s="14" t="str">
        <f>+VLOOKUP(C918,'[1]PA 2023'!$G$8:$H$84,2,FALSE)</f>
        <v>FORTALECIMIENTO DE LA PARTICIPACIÓN CIUDADANA EN EL MUNICIPIO DE BUCARAMANGA</v>
      </c>
      <c r="E918" s="13" t="s">
        <v>1968</v>
      </c>
      <c r="F918" s="15" t="s">
        <v>22</v>
      </c>
      <c r="G918" s="22" t="s">
        <v>23</v>
      </c>
      <c r="H918" s="21" t="s">
        <v>23</v>
      </c>
      <c r="I918" s="13" t="s">
        <v>139</v>
      </c>
      <c r="J918" s="13" t="s">
        <v>1603</v>
      </c>
      <c r="K918" s="16">
        <v>45121</v>
      </c>
      <c r="L918" s="17">
        <v>870000</v>
      </c>
      <c r="M918" s="17">
        <v>870000</v>
      </c>
      <c r="N918" s="18">
        <v>870000</v>
      </c>
      <c r="O918" s="15" t="s">
        <v>23</v>
      </c>
      <c r="Q918" s="13">
        <v>8397</v>
      </c>
      <c r="R918" s="13" t="s">
        <v>1462</v>
      </c>
      <c r="S918" s="13" t="s">
        <v>140</v>
      </c>
      <c r="T918" s="13" t="s">
        <v>16</v>
      </c>
      <c r="U918" s="17">
        <f t="shared" si="28"/>
        <v>0</v>
      </c>
    </row>
    <row r="919" spans="1:21" x14ac:dyDescent="0.3">
      <c r="A919" s="13">
        <v>286</v>
      </c>
      <c r="B919" s="13" t="str">
        <f>+VLOOKUP(A919,'[1]PA 2023'!$A$8:$E$84,5)</f>
        <v>Mantener el beneficio al 100% de los ediles con pago de EPS, ARL, póliza de vida y dotación.</v>
      </c>
      <c r="C919" s="14">
        <v>2022680010029</v>
      </c>
      <c r="D919" s="14" t="str">
        <f>+VLOOKUP(C919,'[1]PA 2023'!$G$8:$H$84,2,FALSE)</f>
        <v>FORTALECIMIENTO DE LA PARTICIPACIÓN CIUDADANA EN EL MUNICIPIO DE BUCARAMANGA</v>
      </c>
      <c r="E919" s="13" t="s">
        <v>1968</v>
      </c>
      <c r="F919" s="15" t="s">
        <v>22</v>
      </c>
      <c r="G919" s="22" t="s">
        <v>23</v>
      </c>
      <c r="H919" s="21" t="s">
        <v>23</v>
      </c>
      <c r="I919" s="13" t="s">
        <v>139</v>
      </c>
      <c r="J919" s="13" t="s">
        <v>1603</v>
      </c>
      <c r="K919" s="16">
        <v>45121</v>
      </c>
      <c r="L919" s="17">
        <v>435000</v>
      </c>
      <c r="M919" s="17">
        <v>435000</v>
      </c>
      <c r="N919" s="18">
        <v>435000</v>
      </c>
      <c r="O919" s="15" t="s">
        <v>23</v>
      </c>
      <c r="Q919" s="13">
        <v>8398</v>
      </c>
      <c r="R919" s="13" t="s">
        <v>1462</v>
      </c>
      <c r="S919" s="13" t="s">
        <v>140</v>
      </c>
      <c r="T919" s="13" t="s">
        <v>16</v>
      </c>
      <c r="U919" s="17">
        <f t="shared" si="28"/>
        <v>0</v>
      </c>
    </row>
    <row r="920" spans="1:21" x14ac:dyDescent="0.3">
      <c r="A920" s="13">
        <v>286</v>
      </c>
      <c r="B920" s="13" t="str">
        <f>+VLOOKUP(A920,'[1]PA 2023'!$A$8:$E$84,5)</f>
        <v>Mantener el beneficio al 100% de los ediles con pago de EPS, ARL, póliza de vida y dotación.</v>
      </c>
      <c r="C920" s="14">
        <v>2022680010029</v>
      </c>
      <c r="D920" s="14" t="str">
        <f>+VLOOKUP(C920,'[1]PA 2023'!$G$8:$H$84,2,FALSE)</f>
        <v>FORTALECIMIENTO DE LA PARTICIPACIÓN CIUDADANA EN EL MUNICIPIO DE BUCARAMANGA</v>
      </c>
      <c r="E920" s="13" t="s">
        <v>1968</v>
      </c>
      <c r="F920" s="15" t="s">
        <v>22</v>
      </c>
      <c r="G920" s="22" t="s">
        <v>23</v>
      </c>
      <c r="H920" s="21" t="s">
        <v>23</v>
      </c>
      <c r="I920" s="13" t="s">
        <v>141</v>
      </c>
      <c r="J920" s="13" t="s">
        <v>1603</v>
      </c>
      <c r="K920" s="16">
        <v>45121</v>
      </c>
      <c r="L920" s="17">
        <v>1740000</v>
      </c>
      <c r="M920" s="17">
        <v>1740000</v>
      </c>
      <c r="N920" s="18">
        <v>1740000</v>
      </c>
      <c r="O920" s="15" t="s">
        <v>23</v>
      </c>
      <c r="Q920" s="13">
        <v>8399</v>
      </c>
      <c r="R920" s="13" t="s">
        <v>1462</v>
      </c>
      <c r="S920" s="13" t="s">
        <v>142</v>
      </c>
      <c r="T920" s="13" t="s">
        <v>16</v>
      </c>
      <c r="U920" s="17">
        <f t="shared" si="28"/>
        <v>0</v>
      </c>
    </row>
    <row r="921" spans="1:21" x14ac:dyDescent="0.3">
      <c r="A921" s="13">
        <v>286</v>
      </c>
      <c r="B921" s="13" t="str">
        <f>+VLOOKUP(A921,'[1]PA 2023'!$A$8:$E$84,5)</f>
        <v>Mantener el beneficio al 100% de los ediles con pago de EPS, ARL, póliza de vida y dotación.</v>
      </c>
      <c r="C921" s="14">
        <v>2022680010029</v>
      </c>
      <c r="D921" s="14" t="str">
        <f>+VLOOKUP(C921,'[1]PA 2023'!$G$8:$H$84,2,FALSE)</f>
        <v>FORTALECIMIENTO DE LA PARTICIPACIÓN CIUDADANA EN EL MUNICIPIO DE BUCARAMANGA</v>
      </c>
      <c r="E921" s="13" t="s">
        <v>1968</v>
      </c>
      <c r="F921" s="15" t="s">
        <v>22</v>
      </c>
      <c r="G921" s="22" t="s">
        <v>23</v>
      </c>
      <c r="H921" s="21" t="s">
        <v>23</v>
      </c>
      <c r="I921" s="13" t="s">
        <v>143</v>
      </c>
      <c r="J921" s="13" t="s">
        <v>1603</v>
      </c>
      <c r="K921" s="16">
        <v>45121</v>
      </c>
      <c r="L921" s="17">
        <v>1015000</v>
      </c>
      <c r="M921" s="17">
        <v>1015000</v>
      </c>
      <c r="N921" s="18">
        <v>1015000</v>
      </c>
      <c r="O921" s="15" t="s">
        <v>23</v>
      </c>
      <c r="Q921" s="13">
        <v>8400</v>
      </c>
      <c r="R921" s="13" t="s">
        <v>1462</v>
      </c>
      <c r="S921" s="13" t="s">
        <v>144</v>
      </c>
      <c r="T921" s="13" t="s">
        <v>16</v>
      </c>
      <c r="U921" s="17">
        <f t="shared" si="28"/>
        <v>0</v>
      </c>
    </row>
    <row r="922" spans="1:21" x14ac:dyDescent="0.3">
      <c r="A922" s="13">
        <v>286</v>
      </c>
      <c r="B922" s="13" t="str">
        <f>+VLOOKUP(A922,'[1]PA 2023'!$A$8:$E$84,5)</f>
        <v>Mantener el beneficio al 100% de los ediles con pago de EPS, ARL, póliza de vida y dotación.</v>
      </c>
      <c r="C922" s="14">
        <v>2022680010029</v>
      </c>
      <c r="D922" s="14" t="str">
        <f>+VLOOKUP(C922,'[1]PA 2023'!$G$8:$H$84,2,FALSE)</f>
        <v>FORTALECIMIENTO DE LA PARTICIPACIÓN CIUDADANA EN EL MUNICIPIO DE BUCARAMANGA</v>
      </c>
      <c r="E922" s="13" t="s">
        <v>1968</v>
      </c>
      <c r="F922" s="15" t="s">
        <v>22</v>
      </c>
      <c r="G922" s="22" t="s">
        <v>23</v>
      </c>
      <c r="H922" s="21" t="s">
        <v>23</v>
      </c>
      <c r="I922" s="13" t="s">
        <v>145</v>
      </c>
      <c r="J922" s="13" t="s">
        <v>1603</v>
      </c>
      <c r="K922" s="16">
        <v>45121</v>
      </c>
      <c r="L922" s="17">
        <v>580000</v>
      </c>
      <c r="M922" s="17">
        <v>580000</v>
      </c>
      <c r="N922" s="18">
        <v>580000</v>
      </c>
      <c r="O922" s="15" t="s">
        <v>23</v>
      </c>
      <c r="Q922" s="13">
        <v>8401</v>
      </c>
      <c r="R922" s="13" t="s">
        <v>1462</v>
      </c>
      <c r="S922" s="13" t="s">
        <v>146</v>
      </c>
      <c r="T922" s="13" t="s">
        <v>16</v>
      </c>
      <c r="U922" s="17">
        <f t="shared" si="28"/>
        <v>0</v>
      </c>
    </row>
    <row r="923" spans="1:21" x14ac:dyDescent="0.3">
      <c r="A923" s="13">
        <v>286</v>
      </c>
      <c r="B923" s="13" t="str">
        <f>+VLOOKUP(A923,'[1]PA 2023'!$A$8:$E$84,5)</f>
        <v>Mantener el beneficio al 100% de los ediles con pago de EPS, ARL, póliza de vida y dotación.</v>
      </c>
      <c r="C923" s="14">
        <v>2022680010029</v>
      </c>
      <c r="D923" s="14" t="str">
        <f>+VLOOKUP(C923,'[1]PA 2023'!$G$8:$H$84,2,FALSE)</f>
        <v>FORTALECIMIENTO DE LA PARTICIPACIÓN CIUDADANA EN EL MUNICIPIO DE BUCARAMANGA</v>
      </c>
      <c r="E923" s="13" t="s">
        <v>1968</v>
      </c>
      <c r="F923" s="15" t="s">
        <v>22</v>
      </c>
      <c r="G923" s="22" t="s">
        <v>23</v>
      </c>
      <c r="H923" s="21" t="s">
        <v>23</v>
      </c>
      <c r="I923" s="13" t="s">
        <v>147</v>
      </c>
      <c r="J923" s="13" t="s">
        <v>1603</v>
      </c>
      <c r="K923" s="16">
        <v>45121</v>
      </c>
      <c r="L923" s="17">
        <v>4495000</v>
      </c>
      <c r="M923" s="17">
        <v>4495000</v>
      </c>
      <c r="N923" s="18">
        <v>4495000</v>
      </c>
      <c r="O923" s="15" t="s">
        <v>23</v>
      </c>
      <c r="Q923" s="13">
        <v>8402</v>
      </c>
      <c r="R923" s="13" t="s">
        <v>1462</v>
      </c>
      <c r="S923" s="13" t="s">
        <v>148</v>
      </c>
      <c r="T923" s="13" t="s">
        <v>16</v>
      </c>
      <c r="U923" s="17">
        <f t="shared" si="28"/>
        <v>0</v>
      </c>
    </row>
    <row r="924" spans="1:21" x14ac:dyDescent="0.3">
      <c r="A924" s="13">
        <v>286</v>
      </c>
      <c r="B924" s="13" t="str">
        <f>+VLOOKUP(A924,'[1]PA 2023'!$A$8:$E$84,5)</f>
        <v>Mantener el beneficio al 100% de los ediles con pago de EPS, ARL, póliza de vida y dotación.</v>
      </c>
      <c r="C924" s="14">
        <v>2022680010029</v>
      </c>
      <c r="D924" s="14" t="str">
        <f>+VLOOKUP(C924,'[1]PA 2023'!$G$8:$H$84,2,FALSE)</f>
        <v>FORTALECIMIENTO DE LA PARTICIPACIÓN CIUDADANA EN EL MUNICIPIO DE BUCARAMANGA</v>
      </c>
      <c r="E924" s="13" t="s">
        <v>1968</v>
      </c>
      <c r="F924" s="15" t="s">
        <v>22</v>
      </c>
      <c r="G924" s="22" t="s">
        <v>23</v>
      </c>
      <c r="H924" s="21" t="s">
        <v>23</v>
      </c>
      <c r="I924" s="13" t="s">
        <v>147</v>
      </c>
      <c r="J924" s="13" t="s">
        <v>1603</v>
      </c>
      <c r="K924" s="16">
        <v>45121</v>
      </c>
      <c r="L924" s="17">
        <v>290000</v>
      </c>
      <c r="M924" s="17">
        <v>290000</v>
      </c>
      <c r="N924" s="18">
        <v>290000</v>
      </c>
      <c r="O924" s="15" t="s">
        <v>23</v>
      </c>
      <c r="Q924" s="13">
        <v>8403</v>
      </c>
      <c r="R924" s="13" t="s">
        <v>1462</v>
      </c>
      <c r="S924" s="13" t="s">
        <v>148</v>
      </c>
      <c r="T924" s="13" t="s">
        <v>16</v>
      </c>
      <c r="U924" s="17">
        <f t="shared" si="28"/>
        <v>0</v>
      </c>
    </row>
    <row r="925" spans="1:21" x14ac:dyDescent="0.3">
      <c r="A925" s="13">
        <v>286</v>
      </c>
      <c r="B925" s="13" t="str">
        <f>+VLOOKUP(A925,'[1]PA 2023'!$A$8:$E$84,5)</f>
        <v>Mantener el beneficio al 100% de los ediles con pago de EPS, ARL, póliza de vida y dotación.</v>
      </c>
      <c r="C925" s="14">
        <v>2022680010029</v>
      </c>
      <c r="D925" s="14" t="str">
        <f>+VLOOKUP(C925,'[1]PA 2023'!$G$8:$H$84,2,FALSE)</f>
        <v>FORTALECIMIENTO DE LA PARTICIPACIÓN CIUDADANA EN EL MUNICIPIO DE BUCARAMANGA</v>
      </c>
      <c r="E925" s="13" t="s">
        <v>1968</v>
      </c>
      <c r="F925" s="15" t="s">
        <v>22</v>
      </c>
      <c r="G925" s="22" t="s">
        <v>23</v>
      </c>
      <c r="H925" s="21" t="s">
        <v>23</v>
      </c>
      <c r="I925" s="13" t="s">
        <v>149</v>
      </c>
      <c r="J925" s="13" t="s">
        <v>1603</v>
      </c>
      <c r="K925" s="16">
        <v>45121</v>
      </c>
      <c r="L925" s="17">
        <v>870000</v>
      </c>
      <c r="M925" s="17">
        <v>870000</v>
      </c>
      <c r="N925" s="18">
        <v>870000</v>
      </c>
      <c r="O925" s="15" t="s">
        <v>23</v>
      </c>
      <c r="Q925" s="13">
        <v>8404</v>
      </c>
      <c r="R925" s="13" t="s">
        <v>1462</v>
      </c>
      <c r="S925" s="13" t="s">
        <v>150</v>
      </c>
      <c r="T925" s="13" t="s">
        <v>16</v>
      </c>
      <c r="U925" s="17">
        <f t="shared" si="28"/>
        <v>0</v>
      </c>
    </row>
    <row r="926" spans="1:21" x14ac:dyDescent="0.3">
      <c r="A926" s="13">
        <v>286</v>
      </c>
      <c r="B926" s="13" t="str">
        <f>+VLOOKUP(A926,'[1]PA 2023'!$A$8:$E$84,5)</f>
        <v>Mantener el beneficio al 100% de los ediles con pago de EPS, ARL, póliza de vida y dotación.</v>
      </c>
      <c r="C926" s="14">
        <v>2022680010029</v>
      </c>
      <c r="D926" s="14" t="str">
        <f>+VLOOKUP(C926,'[1]PA 2023'!$G$8:$H$84,2,FALSE)</f>
        <v>FORTALECIMIENTO DE LA PARTICIPACIÓN CIUDADANA EN EL MUNICIPIO DE BUCARAMANGA</v>
      </c>
      <c r="E926" s="13" t="s">
        <v>1968</v>
      </c>
      <c r="F926" s="15" t="s">
        <v>22</v>
      </c>
      <c r="G926" s="22" t="s">
        <v>23</v>
      </c>
      <c r="H926" s="21" t="s">
        <v>23</v>
      </c>
      <c r="I926" s="13" t="s">
        <v>151</v>
      </c>
      <c r="J926" s="13" t="s">
        <v>1603</v>
      </c>
      <c r="K926" s="16">
        <v>45121</v>
      </c>
      <c r="L926" s="17">
        <v>3335000</v>
      </c>
      <c r="M926" s="17">
        <v>3335000</v>
      </c>
      <c r="N926" s="18">
        <v>3335000</v>
      </c>
      <c r="O926" s="15" t="s">
        <v>23</v>
      </c>
      <c r="Q926" s="13">
        <v>8405</v>
      </c>
      <c r="R926" s="13" t="s">
        <v>1462</v>
      </c>
      <c r="S926" s="13" t="s">
        <v>152</v>
      </c>
      <c r="T926" s="13" t="s">
        <v>16</v>
      </c>
      <c r="U926" s="17">
        <f t="shared" si="28"/>
        <v>0</v>
      </c>
    </row>
    <row r="927" spans="1:21" x14ac:dyDescent="0.3">
      <c r="A927" s="13">
        <v>286</v>
      </c>
      <c r="B927" s="13" t="str">
        <f>+VLOOKUP(A927,'[1]PA 2023'!$A$8:$E$84,5)</f>
        <v>Mantener el beneficio al 100% de los ediles con pago de EPS, ARL, póliza de vida y dotación.</v>
      </c>
      <c r="C927" s="14">
        <v>2022680010029</v>
      </c>
      <c r="D927" s="14" t="str">
        <f>+VLOOKUP(C927,'[1]PA 2023'!$G$8:$H$84,2,FALSE)</f>
        <v>FORTALECIMIENTO DE LA PARTICIPACIÓN CIUDADANA EN EL MUNICIPIO DE BUCARAMANGA</v>
      </c>
      <c r="E927" s="13" t="s">
        <v>1968</v>
      </c>
      <c r="F927" s="15" t="s">
        <v>22</v>
      </c>
      <c r="G927" s="22" t="s">
        <v>23</v>
      </c>
      <c r="H927" s="21" t="s">
        <v>23</v>
      </c>
      <c r="I927" s="13" t="s">
        <v>153</v>
      </c>
      <c r="J927" s="13" t="s">
        <v>1603</v>
      </c>
      <c r="K927" s="16">
        <v>45121</v>
      </c>
      <c r="L927" s="17">
        <v>2610000</v>
      </c>
      <c r="M927" s="17">
        <v>2610000</v>
      </c>
      <c r="N927" s="18">
        <v>2610000</v>
      </c>
      <c r="O927" s="15" t="s">
        <v>23</v>
      </c>
      <c r="Q927" s="13">
        <v>8406</v>
      </c>
      <c r="R927" s="13" t="s">
        <v>1462</v>
      </c>
      <c r="S927" s="13" t="s">
        <v>154</v>
      </c>
      <c r="T927" s="13" t="s">
        <v>16</v>
      </c>
      <c r="U927" s="17">
        <f t="shared" si="28"/>
        <v>0</v>
      </c>
    </row>
    <row r="928" spans="1:21" x14ac:dyDescent="0.3">
      <c r="A928" s="13">
        <v>206</v>
      </c>
      <c r="B928" s="13" t="str">
        <f>+VLOOKUP(A928,'[1]PA 2023'!$A$8:$E$84,5)</f>
        <v>Mantener el Plan General de Asistencia Técnica.</v>
      </c>
      <c r="C928" s="14">
        <v>2020680010123</v>
      </c>
      <c r="D928" s="14" t="str">
        <f>+VLOOKUP(C928,'[1]PA 2023'!$G$8:$H$84,2,FALSE)</f>
        <v>FORTALECIMIENTO DE LA PRODUCTIVIDAD Y COMPETITIVIDAD AGROPECUARIA EN EL SECTOR RURAL DEL MUNICIPIO DE BUCARAMANGA</v>
      </c>
      <c r="E928" s="13" t="s">
        <v>1868</v>
      </c>
      <c r="F928" s="15">
        <v>3219</v>
      </c>
      <c r="G928" s="22" t="s">
        <v>1960</v>
      </c>
      <c r="H928" s="21" t="s">
        <v>36</v>
      </c>
      <c r="I928" s="13" t="s">
        <v>1217</v>
      </c>
      <c r="J928" s="13" t="s">
        <v>1685</v>
      </c>
      <c r="K928" s="16">
        <v>45121</v>
      </c>
      <c r="L928" s="17">
        <v>10000000</v>
      </c>
      <c r="M928" s="17">
        <v>10000000</v>
      </c>
      <c r="N928" s="18">
        <f>1133333.33+2000000</f>
        <v>3133333.33</v>
      </c>
      <c r="O928" s="22" t="s">
        <v>1969</v>
      </c>
      <c r="Q928" s="13">
        <v>8412</v>
      </c>
      <c r="R928" s="13" t="s">
        <v>1687</v>
      </c>
      <c r="S928" s="13" t="s">
        <v>1219</v>
      </c>
      <c r="T928" s="13" t="s">
        <v>16</v>
      </c>
      <c r="U928" s="17">
        <f t="shared" si="28"/>
        <v>6866666.6699999999</v>
      </c>
    </row>
    <row r="929" spans="1:21" x14ac:dyDescent="0.3">
      <c r="A929" s="13">
        <v>107</v>
      </c>
      <c r="B929" s="13" t="str">
        <f>+VLOOKUP(A929,'[1]PA 2023'!$A$8:$E$84,5)</f>
        <v>Formular e implementar 1 política pública para la población con orientación sexual e identidad de género diversa.</v>
      </c>
      <c r="C929" s="14">
        <v>2020680010106</v>
      </c>
      <c r="D929" s="14" t="str">
        <f>+VLOOKUP(C929,'[1]PA 2023'!$G$8:$H$84,2,FALSE)</f>
        <v>FORTALECIMIENTO DE ESPACIOS DE PARTICIPACIÓN Y PREVENCIÓN DE VIOLENCIAS EN MUJERES Y POBLACIÓN CON ORIENTACIONES SEXUALES E IDENTIDADES DE GÉNERO DIVERSAS DEL MUNICIPIO DE BUCARAMANGA</v>
      </c>
      <c r="E929" s="13" t="s">
        <v>1970</v>
      </c>
      <c r="F929" s="15">
        <v>3221</v>
      </c>
      <c r="G929" s="21" t="s">
        <v>35</v>
      </c>
      <c r="H929" s="21" t="s">
        <v>36</v>
      </c>
      <c r="I929" s="13" t="s">
        <v>1971</v>
      </c>
      <c r="J929" s="13" t="s">
        <v>378</v>
      </c>
      <c r="K929" s="16">
        <v>45121</v>
      </c>
      <c r="L929" s="17">
        <v>14500000</v>
      </c>
      <c r="M929" s="17">
        <v>14500000</v>
      </c>
      <c r="N929" s="18">
        <f>1546666.67+2900000</f>
        <v>4446666.67</v>
      </c>
      <c r="O929" s="22" t="s">
        <v>1972</v>
      </c>
      <c r="Q929" s="13">
        <v>8425</v>
      </c>
      <c r="R929" s="13" t="s">
        <v>380</v>
      </c>
      <c r="S929" s="13" t="s">
        <v>1973</v>
      </c>
      <c r="T929" s="13" t="s">
        <v>16</v>
      </c>
      <c r="U929" s="17">
        <f t="shared" ref="U929:U960" si="29">+M929-N929</f>
        <v>10053333.33</v>
      </c>
    </row>
    <row r="930" spans="1:21" x14ac:dyDescent="0.3">
      <c r="A930" s="13">
        <v>285</v>
      </c>
      <c r="B930" s="13" t="str">
        <f>+VLOOKUP(A930,'[1]PA 2023'!$A$8:$E$84,5)</f>
        <v>Mantener en funcionamiento el 100% de los salones comunales que hacen parte del programa Ágoras.</v>
      </c>
      <c r="C930" s="14">
        <v>2022680010029</v>
      </c>
      <c r="D930" s="14" t="str">
        <f>+VLOOKUP(C930,'[1]PA 2023'!$G$8:$H$84,2,FALSE)</f>
        <v>FORTALECIMIENTO DE LA PARTICIPACIÓN CIUDADANA EN EL MUNICIPIO DE BUCARAMANGA</v>
      </c>
      <c r="E930" s="13" t="s">
        <v>1027</v>
      </c>
      <c r="F930" s="15">
        <v>3223</v>
      </c>
      <c r="G930" s="21" t="s">
        <v>35</v>
      </c>
      <c r="H930" s="21" t="s">
        <v>36</v>
      </c>
      <c r="I930" s="13" t="s">
        <v>1974</v>
      </c>
      <c r="J930" s="13" t="s">
        <v>468</v>
      </c>
      <c r="K930" s="16">
        <v>45124</v>
      </c>
      <c r="L930" s="17">
        <v>9000000</v>
      </c>
      <c r="M930" s="17">
        <v>9000000</v>
      </c>
      <c r="N930" s="18">
        <f>780000+1800000</f>
        <v>2580000</v>
      </c>
      <c r="O930" s="22" t="s">
        <v>1975</v>
      </c>
      <c r="Q930" s="13">
        <v>8483</v>
      </c>
      <c r="R930" s="13" t="s">
        <v>134</v>
      </c>
      <c r="S930" s="13" t="s">
        <v>1976</v>
      </c>
      <c r="T930" s="13" t="s">
        <v>16</v>
      </c>
      <c r="U930" s="17">
        <f t="shared" si="29"/>
        <v>6420000</v>
      </c>
    </row>
    <row r="931" spans="1:21" x14ac:dyDescent="0.3">
      <c r="A931" s="13">
        <v>91</v>
      </c>
      <c r="B931" s="13" t="str">
        <f>+VLOOKUP(A931,'[1]PA 2023'!$A$8:$E$84,5)</f>
        <v>Mantener el servicio exequial al 100% de las personas mayores fallecidas en condición de pobreza, vulnerabilidad y sin red familiar de apoyo.</v>
      </c>
      <c r="C931" s="14">
        <v>2020680010040</v>
      </c>
      <c r="D931" s="14" t="str">
        <f>+VLOOKUP(C931,'[1]PA 2023'!$G$8:$H$84,2,FALSE)</f>
        <v>IMPLEMENTACIÓN DE ACCIONES TENDIENTES A MEJORAR LAS CONDICIONES DE LOS ADULTOS MAYORES DEL MUNICIPIO DE BUCARAMANGA</v>
      </c>
      <c r="E931" s="13" t="s">
        <v>1977</v>
      </c>
      <c r="F931" s="15">
        <v>32</v>
      </c>
      <c r="G931" s="22" t="s">
        <v>1925</v>
      </c>
      <c r="H931" s="21" t="s">
        <v>1187</v>
      </c>
      <c r="I931" s="13" t="s">
        <v>158</v>
      </c>
      <c r="J931" s="13" t="s">
        <v>1978</v>
      </c>
      <c r="K931" s="16">
        <v>45124</v>
      </c>
      <c r="L931" s="17">
        <v>30000000</v>
      </c>
      <c r="M931" s="17">
        <v>30000000</v>
      </c>
      <c r="N931" s="18">
        <f>12290823+17709177</f>
        <v>30000000</v>
      </c>
      <c r="O931" s="22" t="s">
        <v>1089</v>
      </c>
      <c r="Q931" s="13">
        <v>8491</v>
      </c>
      <c r="R931" s="23" t="s">
        <v>1556</v>
      </c>
      <c r="S931" s="13" t="s">
        <v>162</v>
      </c>
      <c r="T931" s="13" t="s">
        <v>16</v>
      </c>
      <c r="U931" s="17">
        <f t="shared" si="29"/>
        <v>0</v>
      </c>
    </row>
    <row r="932" spans="1:21" x14ac:dyDescent="0.3">
      <c r="A932" s="13">
        <v>114</v>
      </c>
      <c r="B932" s="13" t="str">
        <f>+VLOOKUP(A932,'[1]PA 2023'!$A$8:$E$84,5)</f>
        <v>Mantener el servicio exequial al 100% de los habitantes de calle fallecidos registrados dentro del censo municipal.</v>
      </c>
      <c r="C932" s="14">
        <v>2020680010050</v>
      </c>
      <c r="D932" s="14" t="str">
        <f>+VLOOKUP(C932,'[1]PA 2023'!$G$8:$H$84,2,FALSE)</f>
        <v>DESARROLLO DE ACCIONES ENCAMINADAS A GENERAR ATENCIÓN INTEGRAL HACIA LA POBLACIÓN HABITANTES EN SITUACIÓN DE CALLE DEL MUNICIPIO DE BUCARAMANGA</v>
      </c>
      <c r="E932" s="13" t="s">
        <v>1977</v>
      </c>
      <c r="F932" s="15">
        <v>32</v>
      </c>
      <c r="G932" s="22" t="s">
        <v>1925</v>
      </c>
      <c r="H932" s="21" t="s">
        <v>1187</v>
      </c>
      <c r="I932" s="13" t="s">
        <v>158</v>
      </c>
      <c r="J932" s="13" t="s">
        <v>1979</v>
      </c>
      <c r="K932" s="16">
        <v>45124</v>
      </c>
      <c r="L932" s="17">
        <v>10000000</v>
      </c>
      <c r="M932" s="17">
        <v>10000000</v>
      </c>
      <c r="N932" s="18">
        <v>0</v>
      </c>
      <c r="O932" s="22" t="s">
        <v>1089</v>
      </c>
      <c r="Q932" s="13">
        <v>8491</v>
      </c>
      <c r="R932" s="23" t="s">
        <v>1903</v>
      </c>
      <c r="S932" s="13" t="s">
        <v>162</v>
      </c>
      <c r="T932" s="13" t="s">
        <v>16</v>
      </c>
      <c r="U932" s="17">
        <f t="shared" si="29"/>
        <v>10000000</v>
      </c>
    </row>
    <row r="933" spans="1:21" x14ac:dyDescent="0.3">
      <c r="A933" s="13">
        <v>93</v>
      </c>
      <c r="B933" s="13" t="str">
        <f>+VLOOKUP(A933,'[1]PA 2023'!$A$8:$E$84,5)</f>
        <v>Mantener en funcionamiento los 3 Centros Vida con la prestacion de servicios integrales y/o dotacion de los mismos cumpliendo con la oferta institucional.</v>
      </c>
      <c r="C933" s="14">
        <v>2020680010040</v>
      </c>
      <c r="D933" s="14" t="str">
        <f>+VLOOKUP(C933,'[1]PA 2023'!$G$8:$H$84,2,FALSE)</f>
        <v>IMPLEMENTACIÓN DE ACCIONES TENDIENTES A MEJORAR LAS CONDICIONES DE LOS ADULTOS MAYORES DEL MUNICIPIO DE BUCARAMANGA</v>
      </c>
      <c r="E933" s="13" t="s">
        <v>1980</v>
      </c>
      <c r="F933" s="15" t="s">
        <v>22</v>
      </c>
      <c r="G933" s="22" t="s">
        <v>23</v>
      </c>
      <c r="H933" s="21" t="s">
        <v>23</v>
      </c>
      <c r="I933" s="13" t="s">
        <v>24</v>
      </c>
      <c r="J933" s="13" t="s">
        <v>25</v>
      </c>
      <c r="K933" s="16">
        <v>45125</v>
      </c>
      <c r="L933" s="17">
        <v>917190</v>
      </c>
      <c r="M933" s="17">
        <v>917190</v>
      </c>
      <c r="N933" s="18">
        <v>917190</v>
      </c>
      <c r="O933" s="15" t="s">
        <v>23</v>
      </c>
      <c r="Q933" s="13">
        <v>8509</v>
      </c>
      <c r="R933" s="13" t="s">
        <v>26</v>
      </c>
      <c r="S933" s="13" t="s">
        <v>27</v>
      </c>
      <c r="T933" s="13" t="s">
        <v>16</v>
      </c>
      <c r="U933" s="17">
        <f t="shared" si="29"/>
        <v>0</v>
      </c>
    </row>
    <row r="934" spans="1:21" x14ac:dyDescent="0.3">
      <c r="A934" s="13">
        <v>71</v>
      </c>
      <c r="B934" s="13" t="str">
        <f>+VLOOKUP(A934,'[1]PA 2023'!$A$8:$E$84,5)</f>
        <v>Formular e implementar 1 estrategia de corresponsabilidad en la garantía de derechos, la prevención de vulneración, amenaza o riesgo en el ámbito familiar, comunitario e institucional.</v>
      </c>
      <c r="C934" s="14">
        <v>2022680010056</v>
      </c>
      <c r="D934" s="14" t="str">
        <f>+VLOOKUP(C934,'[1]PA 2023'!$G$8:$H$84,2,FALSE)</f>
        <v>APOYO EN LOS PROCESOS DE ATENCIÓN INTEGRAL DE LOS NIÑOS Y NIÑAS EN EL ESPACIO DE CUIDADO Y ALBERGUE "CASA BÚHO" EN EL MUNICIPIO DE BUCARAMANGA</v>
      </c>
      <c r="E934" s="13" t="s">
        <v>1981</v>
      </c>
      <c r="F934" s="15" t="s">
        <v>22</v>
      </c>
      <c r="G934" s="22" t="s">
        <v>23</v>
      </c>
      <c r="H934" s="21" t="s">
        <v>23</v>
      </c>
      <c r="I934" s="13" t="s">
        <v>24</v>
      </c>
      <c r="J934" s="13" t="s">
        <v>970</v>
      </c>
      <c r="K934" s="16">
        <v>45125</v>
      </c>
      <c r="L934" s="17">
        <v>292430</v>
      </c>
      <c r="M934" s="17">
        <v>292430</v>
      </c>
      <c r="N934" s="18">
        <v>292430</v>
      </c>
      <c r="O934" s="15" t="s">
        <v>23</v>
      </c>
      <c r="Q934" s="13">
        <v>8510</v>
      </c>
      <c r="R934" s="13" t="s">
        <v>170</v>
      </c>
      <c r="S934" s="13" t="s">
        <v>27</v>
      </c>
      <c r="T934" s="13" t="s">
        <v>16</v>
      </c>
      <c r="U934" s="17">
        <f t="shared" si="29"/>
        <v>0</v>
      </c>
    </row>
    <row r="935" spans="1:21" x14ac:dyDescent="0.3">
      <c r="A935" s="13">
        <v>100</v>
      </c>
      <c r="B935" s="13" t="str">
        <f>+VLOOKUP(A935,'[1]PA 2023'!$A$8:$E$84,5)</f>
        <v>Potenciar la Escuela de Liderazgo y Participación Política de Mujeres con cobertura en zona rural y urbana.</v>
      </c>
      <c r="C935" s="14">
        <v>2020680010106</v>
      </c>
      <c r="D935" s="14" t="str">
        <f>+VLOOKUP(C935,'[1]PA 2023'!$G$8:$H$84,2,FALSE)</f>
        <v>FORTALECIMIENTO DE ESPACIOS DE PARTICIPACIÓN Y PREVENCIÓN DE VIOLENCIAS EN MUJERES Y POBLACIÓN CON ORIENTACIONES SEXUALES E IDENTIDADES DE GÉNERO DIVERSAS DEL MUNICIPIO DE BUCARAMANGA</v>
      </c>
      <c r="E935" s="13" t="s">
        <v>1982</v>
      </c>
      <c r="F935" s="15">
        <v>189</v>
      </c>
      <c r="G935" s="22" t="s">
        <v>1949</v>
      </c>
      <c r="H935" s="21" t="s">
        <v>1901</v>
      </c>
      <c r="I935" s="13" t="s">
        <v>1983</v>
      </c>
      <c r="J935" s="13" t="s">
        <v>378</v>
      </c>
      <c r="K935" s="16">
        <v>45125</v>
      </c>
      <c r="L935" s="17">
        <v>81220590</v>
      </c>
      <c r="M935" s="17">
        <v>81220590</v>
      </c>
      <c r="N935" s="18">
        <v>0</v>
      </c>
      <c r="O935" s="22" t="s">
        <v>1984</v>
      </c>
      <c r="Q935" s="13">
        <v>8522</v>
      </c>
      <c r="R935" s="23" t="s">
        <v>380</v>
      </c>
      <c r="S935" s="13" t="s">
        <v>1985</v>
      </c>
      <c r="T935" s="13" t="s">
        <v>16</v>
      </c>
      <c r="U935" s="17">
        <f t="shared" si="29"/>
        <v>81220590</v>
      </c>
    </row>
    <row r="936" spans="1:21" x14ac:dyDescent="0.3">
      <c r="A936" s="13">
        <v>283</v>
      </c>
      <c r="B936" s="13" t="str">
        <f>+VLOOKUP(A936,'[1]PA 2023'!$A$8:$E$84,5)</f>
        <v>Formular e implementar 1 estrategia que fortalezca la democracia participativa (Ley 1757 de 2015).</v>
      </c>
      <c r="C936" s="14">
        <v>2022680010035</v>
      </c>
      <c r="D936" s="14" t="str">
        <f>+VLOOKUP(C936,'[1]PA 2023'!$G$8:$H$84,2,FALSE)</f>
        <v>FORTALECIMIENTO DE LA PARTICIPACIÓN E INCIDENCIA DE LAS EXPRESIONES E INSTITUCIONES DEMOCRÁTICAS JUVENILES DE LA CIUDAD DE BUCARAMANGA</v>
      </c>
      <c r="E936" s="13" t="s">
        <v>1982</v>
      </c>
      <c r="F936" s="15">
        <v>189</v>
      </c>
      <c r="G936" s="22" t="s">
        <v>1949</v>
      </c>
      <c r="H936" s="21" t="s">
        <v>1901</v>
      </c>
      <c r="I936" s="13" t="s">
        <v>1983</v>
      </c>
      <c r="J936" s="13" t="s">
        <v>468</v>
      </c>
      <c r="K936" s="16">
        <v>45125</v>
      </c>
      <c r="L936" s="17">
        <v>45959745</v>
      </c>
      <c r="M936" s="17">
        <v>45959745</v>
      </c>
      <c r="N936" s="18">
        <v>0</v>
      </c>
      <c r="O936" s="22" t="s">
        <v>1984</v>
      </c>
      <c r="Q936" s="13">
        <v>8522</v>
      </c>
      <c r="R936" s="23" t="s">
        <v>134</v>
      </c>
      <c r="S936" s="13" t="s">
        <v>1985</v>
      </c>
      <c r="T936" s="13" t="s">
        <v>16</v>
      </c>
      <c r="U936" s="17">
        <f t="shared" si="29"/>
        <v>45959745</v>
      </c>
    </row>
    <row r="937" spans="1:21" x14ac:dyDescent="0.3">
      <c r="A937" s="13">
        <v>203</v>
      </c>
      <c r="B937" s="13" t="str">
        <f>+VLOOKUP(A937,'[1]PA 2023'!$A$8:$E$84,5)</f>
        <v>Mantener 2 ciclos de vacunación contra fiebre aftosa y brucelosis en vacunos según normatividad del ICA.</v>
      </c>
      <c r="C937" s="14">
        <v>2020680010159</v>
      </c>
      <c r="D937" s="14" t="str">
        <f>+VLOOKUP(C937,'[1]PA 2023'!$G$8:$H$84,2,FALSE)</f>
        <v>PREVENCIÓN DEL CONTAGIO Y PROPAGACIÓN DE LA FIEBRE AFTOSA Y BRUCELOSIS EN LA ESPECIE BOVINA DEL MUNICIPIO DE BUCARAMANGA</v>
      </c>
      <c r="E937" s="13" t="s">
        <v>1986</v>
      </c>
      <c r="F937" s="15">
        <v>191</v>
      </c>
      <c r="G937" s="22" t="s">
        <v>1165</v>
      </c>
      <c r="H937" s="21" t="s">
        <v>1165</v>
      </c>
      <c r="I937" s="13" t="s">
        <v>1987</v>
      </c>
      <c r="J937" s="13" t="s">
        <v>1988</v>
      </c>
      <c r="K937" s="16">
        <v>45125</v>
      </c>
      <c r="L937" s="17">
        <v>49000000</v>
      </c>
      <c r="M937" s="17">
        <v>49000000</v>
      </c>
      <c r="N937" s="18">
        <v>0</v>
      </c>
      <c r="O937" s="22" t="s">
        <v>1861</v>
      </c>
      <c r="Q937" s="13">
        <v>8523</v>
      </c>
      <c r="R937" s="13" t="s">
        <v>1989</v>
      </c>
      <c r="S937" s="13" t="s">
        <v>1990</v>
      </c>
      <c r="T937" s="13" t="s">
        <v>16</v>
      </c>
      <c r="U937" s="17">
        <f t="shared" si="29"/>
        <v>49000000</v>
      </c>
    </row>
    <row r="938" spans="1:21" x14ac:dyDescent="0.3">
      <c r="A938" s="13">
        <v>283</v>
      </c>
      <c r="B938" s="13" t="str">
        <f>+VLOOKUP(A938,'[1]PA 2023'!$A$8:$E$84,5)</f>
        <v>Formular e implementar 1 estrategia que fortalezca la democracia participativa (Ley 1757 de 2015).</v>
      </c>
      <c r="C938" s="14">
        <v>2022680010029</v>
      </c>
      <c r="D938" s="14" t="str">
        <f>+VLOOKUP(C938,'[1]PA 2023'!$G$8:$H$84,2,FALSE)</f>
        <v>FORTALECIMIENTO DE LA PARTICIPACIÓN CIUDADANA EN EL MUNICIPIO DE BUCARAMANGA</v>
      </c>
      <c r="E938" s="13" t="s">
        <v>1310</v>
      </c>
      <c r="F938" s="15">
        <v>98</v>
      </c>
      <c r="G938" s="22" t="s">
        <v>1165</v>
      </c>
      <c r="H938" s="21" t="s">
        <v>1165</v>
      </c>
      <c r="I938" s="13" t="s">
        <v>1311</v>
      </c>
      <c r="J938" s="13" t="s">
        <v>468</v>
      </c>
      <c r="K938" s="16">
        <v>45126</v>
      </c>
      <c r="L938" s="17">
        <v>-1050000</v>
      </c>
      <c r="M938" s="17">
        <v>-1050000</v>
      </c>
      <c r="N938" s="18">
        <v>0</v>
      </c>
      <c r="O938" s="22" t="s">
        <v>1312</v>
      </c>
      <c r="Q938" s="13">
        <v>5196</v>
      </c>
      <c r="R938" s="23" t="s">
        <v>134</v>
      </c>
      <c r="S938" s="13" t="s">
        <v>1313</v>
      </c>
      <c r="T938" s="13" t="s">
        <v>16</v>
      </c>
      <c r="U938" s="26">
        <v>0</v>
      </c>
    </row>
    <row r="939" spans="1:21" x14ac:dyDescent="0.3">
      <c r="A939" s="13">
        <v>285</v>
      </c>
      <c r="B939" s="13" t="str">
        <f>+VLOOKUP(A939,'[1]PA 2023'!$A$8:$E$84,5)</f>
        <v>Mantener en funcionamiento el 100% de los salones comunales que hacen parte del programa Ágoras.</v>
      </c>
      <c r="C939" s="14">
        <v>2022680010029</v>
      </c>
      <c r="D939" s="14" t="str">
        <f>+VLOOKUP(C939,'[1]PA 2023'!$G$8:$H$84,2,FALSE)</f>
        <v>FORTALECIMIENTO DE LA PARTICIPACIÓN CIUDADANA EN EL MUNICIPIO DE BUCARAMANGA</v>
      </c>
      <c r="E939" s="13" t="s">
        <v>1991</v>
      </c>
      <c r="F939" s="15" t="s">
        <v>22</v>
      </c>
      <c r="G939" s="22" t="s">
        <v>23</v>
      </c>
      <c r="H939" s="21" t="s">
        <v>23</v>
      </c>
      <c r="I939" s="13" t="s">
        <v>24</v>
      </c>
      <c r="J939" s="13" t="s">
        <v>1130</v>
      </c>
      <c r="K939" s="16">
        <v>45126</v>
      </c>
      <c r="L939" s="17">
        <v>176530</v>
      </c>
      <c r="M939" s="17">
        <v>176530</v>
      </c>
      <c r="N939" s="18">
        <v>176530</v>
      </c>
      <c r="O939" s="15" t="s">
        <v>23</v>
      </c>
      <c r="Q939" s="13">
        <v>8561</v>
      </c>
      <c r="R939" s="13" t="s">
        <v>134</v>
      </c>
      <c r="S939" s="13" t="s">
        <v>27</v>
      </c>
      <c r="T939" s="13" t="s">
        <v>16</v>
      </c>
      <c r="U939" s="17">
        <f t="shared" ref="U939:U977" si="30">+M939-N939</f>
        <v>0</v>
      </c>
    </row>
    <row r="940" spans="1:21" x14ac:dyDescent="0.3">
      <c r="A940" s="13">
        <v>285</v>
      </c>
      <c r="B940" s="13" t="str">
        <f>+VLOOKUP(A940,'[1]PA 2023'!$A$8:$E$84,5)</f>
        <v>Mantener en funcionamiento el 100% de los salones comunales que hacen parte del programa Ágoras.</v>
      </c>
      <c r="C940" s="14">
        <v>2022680010029</v>
      </c>
      <c r="D940" s="14" t="str">
        <f>+VLOOKUP(C940,'[1]PA 2023'!$G$8:$H$84,2,FALSE)</f>
        <v>FORTALECIMIENTO DE LA PARTICIPACIÓN CIUDADANA EN EL MUNICIPIO DE BUCARAMANGA</v>
      </c>
      <c r="E940" s="13" t="s">
        <v>1992</v>
      </c>
      <c r="F940" s="15" t="s">
        <v>22</v>
      </c>
      <c r="G940" s="22" t="s">
        <v>23</v>
      </c>
      <c r="H940" s="21" t="s">
        <v>23</v>
      </c>
      <c r="I940" s="13" t="s">
        <v>904</v>
      </c>
      <c r="J940" s="13" t="s">
        <v>1130</v>
      </c>
      <c r="K940" s="16">
        <v>45132</v>
      </c>
      <c r="L940" s="17">
        <v>966661</v>
      </c>
      <c r="M940" s="17">
        <v>966661</v>
      </c>
      <c r="N940" s="18">
        <v>966661</v>
      </c>
      <c r="O940" s="15" t="s">
        <v>23</v>
      </c>
      <c r="Q940" s="13">
        <v>8895</v>
      </c>
      <c r="R940" s="13" t="s">
        <v>134</v>
      </c>
      <c r="S940" s="13" t="s">
        <v>905</v>
      </c>
      <c r="T940" s="13" t="s">
        <v>16</v>
      </c>
      <c r="U940" s="17">
        <f t="shared" si="30"/>
        <v>0</v>
      </c>
    </row>
    <row r="941" spans="1:21" x14ac:dyDescent="0.3">
      <c r="A941" s="13">
        <v>93</v>
      </c>
      <c r="B941" s="13" t="str">
        <f>+VLOOKUP(A941,'[1]PA 2023'!$A$8:$E$84,5)</f>
        <v>Mantener en funcionamiento los 3 Centros Vida con la prestacion de servicios integrales y/o dotacion de los mismos cumpliendo con la oferta institucional.</v>
      </c>
      <c r="C941" s="14">
        <v>2020680010040</v>
      </c>
      <c r="D941" s="14" t="str">
        <f>+VLOOKUP(C941,'[1]PA 2023'!$G$8:$H$84,2,FALSE)</f>
        <v>IMPLEMENTACIÓN DE ACCIONES TENDIENTES A MEJORAR LAS CONDICIONES DE LOS ADULTOS MAYORES DEL MUNICIPIO DE BUCARAMANGA</v>
      </c>
      <c r="E941" s="13" t="s">
        <v>1993</v>
      </c>
      <c r="F941" s="15" t="s">
        <v>22</v>
      </c>
      <c r="G941" s="22" t="s">
        <v>23</v>
      </c>
      <c r="H941" s="21" t="s">
        <v>23</v>
      </c>
      <c r="I941" s="13" t="s">
        <v>470</v>
      </c>
      <c r="J941" s="13" t="s">
        <v>25</v>
      </c>
      <c r="K941" s="16">
        <v>45132</v>
      </c>
      <c r="L941" s="17">
        <v>579198</v>
      </c>
      <c r="M941" s="17">
        <v>579198</v>
      </c>
      <c r="N941" s="18">
        <v>579198</v>
      </c>
      <c r="O941" s="15" t="s">
        <v>23</v>
      </c>
      <c r="Q941" s="13">
        <v>8896</v>
      </c>
      <c r="R941" s="23" t="s">
        <v>26</v>
      </c>
      <c r="S941" s="13" t="s">
        <v>471</v>
      </c>
      <c r="T941" s="13" t="s">
        <v>16</v>
      </c>
      <c r="U941" s="17">
        <f t="shared" si="30"/>
        <v>0</v>
      </c>
    </row>
    <row r="942" spans="1:21" x14ac:dyDescent="0.3">
      <c r="A942" s="13">
        <v>111</v>
      </c>
      <c r="B942" s="13" t="str">
        <f>+VLOOKUP(A942,'[1]PA 2023'!$A$8:$E$84,5)</f>
        <v xml:space="preserve">Mantener la identificación, caracterización y seguimiento de la situación de cada habitante de calle atendido por la Secretaría de Desarrollo Social. </v>
      </c>
      <c r="C942" s="14">
        <v>2020680010050</v>
      </c>
      <c r="D942" s="14" t="str">
        <f>+VLOOKUP(C942,'[1]PA 2023'!$G$8:$H$84,2,FALSE)</f>
        <v>DESARROLLO DE ACCIONES ENCAMINADAS A GENERAR ATENCIÓN INTEGRAL HACIA LA POBLACIÓN HABITANTES EN SITUACIÓN DE CALLE DEL MUNICIPIO DE BUCARAMANGA</v>
      </c>
      <c r="E942" s="13" t="s">
        <v>1993</v>
      </c>
      <c r="F942" s="15" t="s">
        <v>22</v>
      </c>
      <c r="G942" s="22" t="s">
        <v>23</v>
      </c>
      <c r="H942" s="21" t="s">
        <v>23</v>
      </c>
      <c r="I942" s="13" t="s">
        <v>470</v>
      </c>
      <c r="J942" s="13" t="s">
        <v>768</v>
      </c>
      <c r="K942" s="16">
        <v>45132</v>
      </c>
      <c r="L942" s="17">
        <v>203801</v>
      </c>
      <c r="M942" s="17">
        <v>203801</v>
      </c>
      <c r="N942" s="18">
        <v>203801</v>
      </c>
      <c r="O942" s="15" t="s">
        <v>23</v>
      </c>
      <c r="Q942" s="13">
        <v>8896</v>
      </c>
      <c r="R942" s="23" t="s">
        <v>770</v>
      </c>
      <c r="S942" s="13" t="s">
        <v>471</v>
      </c>
      <c r="T942" s="13" t="s">
        <v>16</v>
      </c>
      <c r="U942" s="17">
        <f t="shared" si="30"/>
        <v>0</v>
      </c>
    </row>
    <row r="943" spans="1:21" x14ac:dyDescent="0.3">
      <c r="A943" s="13">
        <v>105</v>
      </c>
      <c r="B943" s="13" t="str">
        <f>+VLOOKUP(A943,'[1]PA 2023'!$A$8:$E$84,5)</f>
        <v>Mantener el Centro Integral de la Mujer a fin de garantizar el fortalecimiento de los procesos de atención y empoderamiento femenino.</v>
      </c>
      <c r="C943" s="14">
        <v>2020680010106</v>
      </c>
      <c r="D943" s="14" t="str">
        <f>+VLOOKUP(C943,'[1]PA 2023'!$G$8:$H$84,2,FALSE)</f>
        <v>FORTALECIMIENTO DE ESPACIOS DE PARTICIPACIÓN Y PREVENCIÓN DE VIOLENCIAS EN MUJERES Y POBLACIÓN CON ORIENTACIONES SEXUALES E IDENTIDADES DE GÉNERO DIVERSAS DEL MUNICIPIO DE BUCARAMANGA</v>
      </c>
      <c r="E943" s="13" t="s">
        <v>1993</v>
      </c>
      <c r="F943" s="15" t="s">
        <v>22</v>
      </c>
      <c r="G943" s="22" t="s">
        <v>23</v>
      </c>
      <c r="H943" s="21" t="s">
        <v>23</v>
      </c>
      <c r="I943" s="13" t="s">
        <v>470</v>
      </c>
      <c r="J943" s="13" t="s">
        <v>378</v>
      </c>
      <c r="K943" s="16">
        <v>45132</v>
      </c>
      <c r="L943" s="17">
        <v>203801</v>
      </c>
      <c r="M943" s="17">
        <v>203801</v>
      </c>
      <c r="N943" s="18">
        <v>203801</v>
      </c>
      <c r="O943" s="15" t="s">
        <v>23</v>
      </c>
      <c r="Q943" s="13">
        <v>8896</v>
      </c>
      <c r="R943" s="23" t="s">
        <v>380</v>
      </c>
      <c r="S943" s="13" t="s">
        <v>471</v>
      </c>
      <c r="T943" s="13" t="s">
        <v>16</v>
      </c>
      <c r="U943" s="17">
        <f t="shared" si="30"/>
        <v>0</v>
      </c>
    </row>
    <row r="944" spans="1:21" x14ac:dyDescent="0.3">
      <c r="A944" s="13">
        <v>234</v>
      </c>
      <c r="B944" s="13" t="str">
        <f>+VLOOKUP(A944,'[1]PA 2023'!$A$8:$E$84,5)</f>
        <v>Mantener la estrategia para la prevención, detección y atención de las violencias en adolescentes.</v>
      </c>
      <c r="C944" s="14">
        <v>2021680010003</v>
      </c>
      <c r="D944" s="14" t="str">
        <f>+VLOOKUP(C944,'[1]PA 2023'!$G$8:$H$84,2,FALSE)</f>
        <v>IMPLEMENTACIÓN DE ESTRATEGIAS PSICOPEDAGÓGICAS PARA LA DISMINUCIÓN DE FACTORES DE RIESGO EN NIÑOS, NIÑAS Y ADOLESCENTES EN EL MUNICIPIO DE BUCARAMANGA</v>
      </c>
      <c r="E944" s="13" t="s">
        <v>1994</v>
      </c>
      <c r="F944" s="15">
        <v>3249</v>
      </c>
      <c r="G944" s="21" t="s">
        <v>43</v>
      </c>
      <c r="H944" s="21" t="s">
        <v>36</v>
      </c>
      <c r="I944" s="13" t="s">
        <v>1995</v>
      </c>
      <c r="J944" s="13" t="s">
        <v>212</v>
      </c>
      <c r="K944" s="16">
        <v>45133</v>
      </c>
      <c r="L944" s="17">
        <v>15000000</v>
      </c>
      <c r="M944" s="17">
        <v>15000000</v>
      </c>
      <c r="N944" s="18">
        <f>3000000+500000</f>
        <v>3500000</v>
      </c>
      <c r="O944" s="22" t="s">
        <v>1996</v>
      </c>
      <c r="Q944" s="13">
        <v>9051</v>
      </c>
      <c r="R944" s="13" t="s">
        <v>164</v>
      </c>
      <c r="S944" s="13" t="s">
        <v>1997</v>
      </c>
      <c r="T944" s="13" t="s">
        <v>16</v>
      </c>
      <c r="U944" s="17">
        <f t="shared" si="30"/>
        <v>11500000</v>
      </c>
    </row>
    <row r="945" spans="1:21" x14ac:dyDescent="0.3">
      <c r="A945" s="13">
        <v>95</v>
      </c>
      <c r="B945" s="13" t="str">
        <f>+VLOOKUP(A945,'[1]PA 2023'!$A$8:$E$84,5)</f>
        <v>Formular e implementar 1 estrategia que promueva  las actividades psicosociales, actividades artísticas y culturales,   actividades físicas y recreación y actividades productivas en las personas mayores.</v>
      </c>
      <c r="C945" s="14">
        <v>2020680010040</v>
      </c>
      <c r="D945" s="14" t="str">
        <f>+VLOOKUP(C945,'[1]PA 2023'!$G$8:$H$84,2,FALSE)</f>
        <v>IMPLEMENTACIÓN DE ACCIONES TENDIENTES A MEJORAR LAS CONDICIONES DE LOS ADULTOS MAYORES DEL MUNICIPIO DE BUCARAMANGA</v>
      </c>
      <c r="E945" s="13" t="s">
        <v>1998</v>
      </c>
      <c r="F945" s="15">
        <v>3251</v>
      </c>
      <c r="G945" s="21" t="s">
        <v>43</v>
      </c>
      <c r="H945" s="21" t="s">
        <v>36</v>
      </c>
      <c r="I945" s="13" t="s">
        <v>1319</v>
      </c>
      <c r="J945" s="13" t="s">
        <v>1554</v>
      </c>
      <c r="K945" s="16">
        <v>45134</v>
      </c>
      <c r="L945" s="17">
        <v>13500000</v>
      </c>
      <c r="M945" s="17">
        <v>13500000</v>
      </c>
      <c r="N945" s="18">
        <f>400000+3000000</f>
        <v>3400000</v>
      </c>
      <c r="O945" s="22" t="s">
        <v>1999</v>
      </c>
      <c r="Q945" s="13">
        <v>9108</v>
      </c>
      <c r="R945" s="13" t="s">
        <v>1556</v>
      </c>
      <c r="S945" s="13" t="s">
        <v>1321</v>
      </c>
      <c r="T945" s="13" t="s">
        <v>16</v>
      </c>
      <c r="U945" s="17">
        <f t="shared" si="30"/>
        <v>10100000</v>
      </c>
    </row>
    <row r="946" spans="1:21" x14ac:dyDescent="0.3">
      <c r="A946" s="13">
        <v>283</v>
      </c>
      <c r="B946" s="13" t="str">
        <f>+VLOOKUP(A946,'[1]PA 2023'!$A$8:$E$84,5)</f>
        <v>Formular e implementar 1 estrategia que fortalezca la democracia participativa (Ley 1757 de 2015).</v>
      </c>
      <c r="C946" s="14">
        <v>2022680010029</v>
      </c>
      <c r="D946" s="14" t="str">
        <f>+VLOOKUP(C946,'[1]PA 2023'!$G$8:$H$84,2,FALSE)</f>
        <v>FORTALECIMIENTO DE LA PARTICIPACIÓN CIUDADANA EN EL MUNICIPIO DE BUCARAMANGA</v>
      </c>
      <c r="E946" s="13" t="s">
        <v>2000</v>
      </c>
      <c r="F946" s="15">
        <v>192</v>
      </c>
      <c r="G946" s="22" t="s">
        <v>1165</v>
      </c>
      <c r="H946" s="21" t="s">
        <v>1165</v>
      </c>
      <c r="I946" s="13" t="s">
        <v>2001</v>
      </c>
      <c r="J946" s="13" t="s">
        <v>1460</v>
      </c>
      <c r="K946" s="16">
        <v>45134</v>
      </c>
      <c r="L946" s="17">
        <v>80815000</v>
      </c>
      <c r="M946" s="17">
        <v>80815000</v>
      </c>
      <c r="N946" s="18">
        <v>0</v>
      </c>
      <c r="O946" s="22" t="s">
        <v>2002</v>
      </c>
      <c r="Q946" s="13">
        <v>9126</v>
      </c>
      <c r="R946" s="13" t="s">
        <v>1462</v>
      </c>
      <c r="S946" s="13" t="s">
        <v>2003</v>
      </c>
      <c r="T946" s="13" t="s">
        <v>16</v>
      </c>
      <c r="U946" s="17">
        <f t="shared" si="30"/>
        <v>80815000</v>
      </c>
    </row>
    <row r="947" spans="1:21" x14ac:dyDescent="0.3">
      <c r="A947" s="13">
        <v>93</v>
      </c>
      <c r="B947" s="13" t="str">
        <f>+VLOOKUP(A947,'[1]PA 2023'!$A$8:$E$84,5)</f>
        <v>Mantener en funcionamiento los 3 Centros Vida con la prestacion de servicios integrales y/o dotacion de los mismos cumpliendo con la oferta institucional.</v>
      </c>
      <c r="C947" s="14">
        <v>2020680010040</v>
      </c>
      <c r="D947" s="14" t="str">
        <f>+VLOOKUP(C947,'[1]PA 2023'!$G$8:$H$84,2,FALSE)</f>
        <v>IMPLEMENTACIÓN DE ACCIONES TENDIENTES A MEJORAR LAS CONDICIONES DE LOS ADULTOS MAYORES DEL MUNICIPIO DE BUCARAMANGA</v>
      </c>
      <c r="E947" s="13" t="s">
        <v>2004</v>
      </c>
      <c r="F947" s="15" t="s">
        <v>22</v>
      </c>
      <c r="G947" s="22" t="s">
        <v>23</v>
      </c>
      <c r="H947" s="21" t="s">
        <v>23</v>
      </c>
      <c r="I947" s="13" t="s">
        <v>260</v>
      </c>
      <c r="J947" s="13" t="s">
        <v>25</v>
      </c>
      <c r="K947" s="16">
        <v>45134</v>
      </c>
      <c r="L947" s="17">
        <v>2777929</v>
      </c>
      <c r="M947" s="17">
        <v>2777929</v>
      </c>
      <c r="N947" s="18">
        <v>2777929</v>
      </c>
      <c r="O947" s="15" t="s">
        <v>23</v>
      </c>
      <c r="Q947" s="13">
        <v>9127</v>
      </c>
      <c r="R947" s="13" t="s">
        <v>26</v>
      </c>
      <c r="S947" s="13" t="s">
        <v>261</v>
      </c>
      <c r="T947" s="13" t="s">
        <v>16</v>
      </c>
      <c r="U947" s="17">
        <f t="shared" si="30"/>
        <v>0</v>
      </c>
    </row>
    <row r="948" spans="1:21" x14ac:dyDescent="0.3">
      <c r="A948" s="13">
        <v>285</v>
      </c>
      <c r="B948" s="13" t="str">
        <f>+VLOOKUP(A948,'[1]PA 2023'!$A$8:$E$84,5)</f>
        <v>Mantener en funcionamiento el 100% de los salones comunales que hacen parte del programa Ágoras.</v>
      </c>
      <c r="C948" s="14">
        <v>2022680010029</v>
      </c>
      <c r="D948" s="14" t="str">
        <f>+VLOOKUP(C948,'[1]PA 2023'!$G$8:$H$84,2,FALSE)</f>
        <v>FORTALECIMIENTO DE LA PARTICIPACIÓN CIUDADANA EN EL MUNICIPIO DE BUCARAMANGA</v>
      </c>
      <c r="E948" s="13" t="s">
        <v>2005</v>
      </c>
      <c r="F948" s="15" t="s">
        <v>22</v>
      </c>
      <c r="G948" s="22" t="s">
        <v>23</v>
      </c>
      <c r="H948" s="21" t="s">
        <v>23</v>
      </c>
      <c r="I948" s="13" t="s">
        <v>260</v>
      </c>
      <c r="J948" s="13" t="s">
        <v>1130</v>
      </c>
      <c r="K948" s="16">
        <v>45134</v>
      </c>
      <c r="L948" s="17">
        <v>155626</v>
      </c>
      <c r="M948" s="17">
        <v>155626</v>
      </c>
      <c r="N948" s="18">
        <v>155626</v>
      </c>
      <c r="O948" s="15" t="s">
        <v>23</v>
      </c>
      <c r="Q948" s="13">
        <v>9128</v>
      </c>
      <c r="R948" s="13" t="s">
        <v>134</v>
      </c>
      <c r="S948" s="13" t="s">
        <v>261</v>
      </c>
      <c r="T948" s="13" t="s">
        <v>16</v>
      </c>
      <c r="U948" s="17">
        <f t="shared" si="30"/>
        <v>0</v>
      </c>
    </row>
    <row r="949" spans="1:21" x14ac:dyDescent="0.3">
      <c r="A949" s="13">
        <v>71</v>
      </c>
      <c r="B949" s="13" t="str">
        <f>+VLOOKUP(A949,'[1]PA 2023'!$A$8:$E$84,5)</f>
        <v>Formular e implementar 1 estrategia de corresponsabilidad en la garantía de derechos, la prevención de vulneración, amenaza o riesgo en el ámbito familiar, comunitario e institucional.</v>
      </c>
      <c r="C949" s="14">
        <v>2022680010056</v>
      </c>
      <c r="D949" s="14" t="str">
        <f>+VLOOKUP(C949,'[1]PA 2023'!$G$8:$H$84,2,FALSE)</f>
        <v>APOYO EN LOS PROCESOS DE ATENCIÓN INTEGRAL DE LOS NIÑOS Y NIÑAS EN EL ESPACIO DE CUIDADO Y ALBERGUE "CASA BÚHO" EN EL MUNICIPIO DE BUCARAMANGA</v>
      </c>
      <c r="E949" s="13" t="s">
        <v>2006</v>
      </c>
      <c r="F949" s="15" t="s">
        <v>22</v>
      </c>
      <c r="G949" s="22" t="s">
        <v>23</v>
      </c>
      <c r="H949" s="21" t="s">
        <v>23</v>
      </c>
      <c r="I949" s="13" t="s">
        <v>260</v>
      </c>
      <c r="J949" s="13" t="s">
        <v>970</v>
      </c>
      <c r="K949" s="16">
        <v>45134</v>
      </c>
      <c r="L949" s="17">
        <v>2074255</v>
      </c>
      <c r="M949" s="17">
        <v>2074255</v>
      </c>
      <c r="N949" s="18">
        <v>2074255</v>
      </c>
      <c r="O949" s="15" t="s">
        <v>23</v>
      </c>
      <c r="Q949" s="13">
        <v>9129</v>
      </c>
      <c r="R949" s="13" t="s">
        <v>170</v>
      </c>
      <c r="S949" s="13" t="s">
        <v>261</v>
      </c>
      <c r="T949" s="13" t="s">
        <v>16</v>
      </c>
      <c r="U949" s="17">
        <f t="shared" si="30"/>
        <v>0</v>
      </c>
    </row>
    <row r="950" spans="1:21" x14ac:dyDescent="0.3">
      <c r="A950" s="13">
        <v>115</v>
      </c>
      <c r="B950" s="13" t="str">
        <f>+VLOOKUP(A950,'[1]PA 2023'!$A$8:$E$84,5)</f>
        <v>Garantizar y mantener la atención integral en procesos de habilitación y rehabilitación a 250 niñas, niños y adolescentes con discapacidad del sector urbano y rural en extrema vulnerabilidad.</v>
      </c>
      <c r="C950" s="14">
        <v>2020680010121</v>
      </c>
      <c r="D950" s="14" t="str">
        <f>+VLOOKUP(C950,'[1]PA 2023'!$G$8:$H$84,2,FALSE)</f>
        <v>APOYO A LA OPERATIVIDAD DE LOS PROGRAMAS DE ATENCIÓN INTEGRAL A LAS PERSONAS CON DISCAPACIDAD. FAMILIARES Y/O CUIDADORES DEL MUNICIPIO DE BUCARAMANGA</v>
      </c>
      <c r="E950" s="13" t="s">
        <v>2007</v>
      </c>
      <c r="F950" s="15">
        <v>199</v>
      </c>
      <c r="G950" s="22" t="s">
        <v>184</v>
      </c>
      <c r="H950" s="21" t="s">
        <v>1901</v>
      </c>
      <c r="I950" s="13" t="s">
        <v>190</v>
      </c>
      <c r="J950" s="13" t="s">
        <v>1822</v>
      </c>
      <c r="K950" s="16">
        <v>45140</v>
      </c>
      <c r="L950" s="17">
        <v>278019000</v>
      </c>
      <c r="M950" s="17">
        <v>278019000</v>
      </c>
      <c r="N950" s="18">
        <v>0</v>
      </c>
      <c r="O950" s="22" t="s">
        <v>2008</v>
      </c>
      <c r="Q950" s="13">
        <v>9255</v>
      </c>
      <c r="R950" s="13" t="s">
        <v>1626</v>
      </c>
      <c r="S950" s="13" t="s">
        <v>194</v>
      </c>
      <c r="T950" s="13" t="s">
        <v>16</v>
      </c>
      <c r="U950" s="17">
        <f t="shared" si="30"/>
        <v>278019000</v>
      </c>
    </row>
    <row r="951" spans="1:21" x14ac:dyDescent="0.3">
      <c r="A951" s="13">
        <v>115</v>
      </c>
      <c r="B951" s="13" t="str">
        <f>+VLOOKUP(A951,'[1]PA 2023'!$A$8:$E$84,5)</f>
        <v>Garantizar y mantener la atención integral en procesos de habilitación y rehabilitación a 250 niñas, niños y adolescentes con discapacidad del sector urbano y rural en extrema vulnerabilidad.</v>
      </c>
      <c r="C951" s="14">
        <v>2020680010121</v>
      </c>
      <c r="D951" s="14" t="str">
        <f>+VLOOKUP(C951,'[1]PA 2023'!$G$8:$H$84,2,FALSE)</f>
        <v>APOYO A LA OPERATIVIDAD DE LOS PROGRAMAS DE ATENCIÓN INTEGRAL A LAS PERSONAS CON DISCAPACIDAD. FAMILIARES Y/O CUIDADORES DEL MUNICIPIO DE BUCARAMANGA</v>
      </c>
      <c r="E951" s="13" t="s">
        <v>2009</v>
      </c>
      <c r="F951" s="15">
        <v>203</v>
      </c>
      <c r="G951" s="22" t="s">
        <v>184</v>
      </c>
      <c r="H951" s="21" t="s">
        <v>1901</v>
      </c>
      <c r="I951" s="13" t="s">
        <v>202</v>
      </c>
      <c r="J951" s="13" t="s">
        <v>1822</v>
      </c>
      <c r="K951" s="16">
        <v>45142</v>
      </c>
      <c r="L951" s="17">
        <v>151200000</v>
      </c>
      <c r="M951" s="17">
        <v>151200000</v>
      </c>
      <c r="N951" s="18">
        <v>31584000</v>
      </c>
      <c r="O951" s="22" t="s">
        <v>2010</v>
      </c>
      <c r="Q951" s="13">
        <v>9343</v>
      </c>
      <c r="R951" s="13" t="s">
        <v>1626</v>
      </c>
      <c r="S951" s="13" t="s">
        <v>204</v>
      </c>
      <c r="T951" s="13" t="s">
        <v>16</v>
      </c>
      <c r="U951" s="17">
        <f t="shared" si="30"/>
        <v>119616000</v>
      </c>
    </row>
    <row r="952" spans="1:21" x14ac:dyDescent="0.3">
      <c r="A952" s="13">
        <v>115</v>
      </c>
      <c r="B952" s="13" t="str">
        <f>+VLOOKUP(A952,'[1]PA 2023'!$A$8:$E$84,5)</f>
        <v>Garantizar y mantener la atención integral en procesos de habilitación y rehabilitación a 250 niñas, niños y adolescentes con discapacidad del sector urbano y rural en extrema vulnerabilidad.</v>
      </c>
      <c r="C952" s="14">
        <v>2020680010121</v>
      </c>
      <c r="D952" s="14" t="str">
        <f>+VLOOKUP(C952,'[1]PA 2023'!$G$8:$H$84,2,FALSE)</f>
        <v>APOYO A LA OPERATIVIDAD DE LOS PROGRAMAS DE ATENCIÓN INTEGRAL A LAS PERSONAS CON DISCAPACIDAD. FAMILIARES Y/O CUIDADORES DEL MUNICIPIO DE BUCARAMANGA</v>
      </c>
      <c r="E952" s="13" t="s">
        <v>2011</v>
      </c>
      <c r="F952" s="15">
        <v>204</v>
      </c>
      <c r="G952" s="22" t="s">
        <v>184</v>
      </c>
      <c r="H952" s="21" t="s">
        <v>1901</v>
      </c>
      <c r="I952" s="13" t="s">
        <v>190</v>
      </c>
      <c r="J952" s="13" t="s">
        <v>1822</v>
      </c>
      <c r="K952" s="16">
        <v>45142</v>
      </c>
      <c r="L952" s="17">
        <v>151200000</v>
      </c>
      <c r="M952" s="17">
        <v>151200000</v>
      </c>
      <c r="N952" s="18">
        <v>0</v>
      </c>
      <c r="O952" s="22" t="s">
        <v>2012</v>
      </c>
      <c r="Q952" s="13">
        <v>9344</v>
      </c>
      <c r="R952" s="13" t="s">
        <v>1626</v>
      </c>
      <c r="S952" s="13" t="s">
        <v>194</v>
      </c>
      <c r="T952" s="13" t="s">
        <v>16</v>
      </c>
      <c r="U952" s="17">
        <f t="shared" si="30"/>
        <v>151200000</v>
      </c>
    </row>
    <row r="953" spans="1:21" x14ac:dyDescent="0.3">
      <c r="A953" s="13">
        <v>115</v>
      </c>
      <c r="B953" s="13" t="str">
        <f>+VLOOKUP(A953,'[1]PA 2023'!$A$8:$E$84,5)</f>
        <v>Garantizar y mantener la atención integral en procesos de habilitación y rehabilitación a 250 niñas, niños y adolescentes con discapacidad del sector urbano y rural en extrema vulnerabilidad.</v>
      </c>
      <c r="C953" s="14">
        <v>2020680010121</v>
      </c>
      <c r="D953" s="14" t="str">
        <f>+VLOOKUP(C953,'[1]PA 2023'!$G$8:$H$84,2,FALSE)</f>
        <v>APOYO A LA OPERATIVIDAD DE LOS PROGRAMAS DE ATENCIÓN INTEGRAL A LAS PERSONAS CON DISCAPACIDAD. FAMILIARES Y/O CUIDADORES DEL MUNICIPIO DE BUCARAMANGA</v>
      </c>
      <c r="E953" s="13" t="s">
        <v>2013</v>
      </c>
      <c r="F953" s="15">
        <v>205</v>
      </c>
      <c r="G953" s="22" t="s">
        <v>184</v>
      </c>
      <c r="H953" s="21" t="s">
        <v>1901</v>
      </c>
      <c r="I953" s="13" t="s">
        <v>439</v>
      </c>
      <c r="J953" s="13" t="s">
        <v>1822</v>
      </c>
      <c r="K953" s="16">
        <v>45142</v>
      </c>
      <c r="L953" s="17">
        <v>193536000</v>
      </c>
      <c r="M953" s="17">
        <v>193536000</v>
      </c>
      <c r="N953" s="18">
        <v>38304000</v>
      </c>
      <c r="O953" s="22" t="s">
        <v>2014</v>
      </c>
      <c r="Q953" s="13">
        <v>9345</v>
      </c>
      <c r="R953" s="13" t="s">
        <v>1626</v>
      </c>
      <c r="S953" s="13" t="s">
        <v>441</v>
      </c>
      <c r="T953" s="13" t="s">
        <v>16</v>
      </c>
      <c r="U953" s="17">
        <f t="shared" si="30"/>
        <v>155232000</v>
      </c>
    </row>
    <row r="954" spans="1:21" x14ac:dyDescent="0.3">
      <c r="A954" s="13">
        <v>106</v>
      </c>
      <c r="B954" s="13" t="str">
        <f>+VLOOKUP(A954,'[1]PA 2023'!$A$8:$E$84,5)</f>
        <v>Actualizar e implementar la Política Pública de Mujer.</v>
      </c>
      <c r="C954" s="14">
        <v>2023680010015</v>
      </c>
      <c r="D954" s="14" t="str">
        <f>+VLOOKUP(C954,'[1]PA 2023'!$G$8:$H$84,2,FALSE)</f>
        <v>FORTALECIMIENTO DE ACCIONES ORIENTADAS AL CIERRE DE BRECHAS DE GÉNERO PARA MUJERES Y POBLACIÓN CON ORIENTACIONES SEXUALES E IDENTIDADES DE GÉNERO DIVERSAS DEL MUNICIPIO DE BUCARAMANGA</v>
      </c>
      <c r="E954" s="13" t="s">
        <v>2015</v>
      </c>
      <c r="F954" s="15">
        <v>3282</v>
      </c>
      <c r="G954" s="21" t="s">
        <v>35</v>
      </c>
      <c r="H954" s="21" t="s">
        <v>36</v>
      </c>
      <c r="I954" s="13" t="s">
        <v>2016</v>
      </c>
      <c r="J954" s="13" t="s">
        <v>1488</v>
      </c>
      <c r="K954" s="16">
        <v>45146</v>
      </c>
      <c r="L954" s="17">
        <v>9000000</v>
      </c>
      <c r="M954" s="17">
        <v>9000000</v>
      </c>
      <c r="N954" s="18">
        <v>1533333.33</v>
      </c>
      <c r="O954" s="22" t="s">
        <v>2017</v>
      </c>
      <c r="Q954" s="13">
        <v>9351</v>
      </c>
      <c r="R954" s="13" t="s">
        <v>1490</v>
      </c>
      <c r="S954" s="13" t="s">
        <v>2018</v>
      </c>
      <c r="T954" s="13" t="s">
        <v>16</v>
      </c>
      <c r="U954" s="17">
        <f t="shared" si="30"/>
        <v>7466666.6699999999</v>
      </c>
    </row>
    <row r="955" spans="1:21" x14ac:dyDescent="0.3">
      <c r="A955" s="13">
        <v>91</v>
      </c>
      <c r="B955" s="13" t="str">
        <f>+VLOOKUP(A955,'[1]PA 2023'!$A$8:$E$84,5)</f>
        <v>Mantener el servicio exequial al 100% de las personas mayores fallecidas en condición de pobreza, vulnerabilidad y sin red familiar de apoyo.</v>
      </c>
      <c r="C955" s="14">
        <v>2020680010040</v>
      </c>
      <c r="D955" s="14" t="str">
        <f>+VLOOKUP(C955,'[1]PA 2023'!$G$8:$H$84,2,FALSE)</f>
        <v>IMPLEMENTACIÓN DE ACCIONES TENDIENTES A MEJORAR LAS CONDICIONES DE LOS ADULTOS MAYORES DEL MUNICIPIO DE BUCARAMANGA</v>
      </c>
      <c r="E955" s="13" t="s">
        <v>2019</v>
      </c>
      <c r="F955" s="15">
        <v>32</v>
      </c>
      <c r="G955" s="22" t="s">
        <v>1925</v>
      </c>
      <c r="H955" s="21" t="s">
        <v>1187</v>
      </c>
      <c r="I955" s="13" t="s">
        <v>158</v>
      </c>
      <c r="J955" s="13" t="s">
        <v>1978</v>
      </c>
      <c r="K955" s="16">
        <v>45147</v>
      </c>
      <c r="L955" s="17">
        <v>49478041</v>
      </c>
      <c r="M955" s="17">
        <v>49478041</v>
      </c>
      <c r="N955" s="18">
        <v>14306026</v>
      </c>
      <c r="O955" s="22" t="s">
        <v>1089</v>
      </c>
      <c r="Q955" s="13">
        <v>9388</v>
      </c>
      <c r="R955" s="13" t="s">
        <v>1556</v>
      </c>
      <c r="S955" s="13" t="s">
        <v>162</v>
      </c>
      <c r="T955" s="13" t="s">
        <v>16</v>
      </c>
      <c r="U955" s="17">
        <f t="shared" si="30"/>
        <v>35172015</v>
      </c>
    </row>
    <row r="956" spans="1:21" x14ac:dyDescent="0.3">
      <c r="A956" s="13">
        <v>286</v>
      </c>
      <c r="B956" s="13" t="str">
        <f>+VLOOKUP(A956,'[1]PA 2023'!$A$8:$E$84,5)</f>
        <v>Mantener el beneficio al 100% de los ediles con pago de EPS, ARL, póliza de vida y dotación.</v>
      </c>
      <c r="C956" s="14">
        <v>2022680010029</v>
      </c>
      <c r="D956" s="14" t="str">
        <f>+VLOOKUP(C956,'[1]PA 2023'!$G$8:$H$84,2,FALSE)</f>
        <v>FORTALECIMIENTO DE LA PARTICIPACIÓN CIUDADANA EN EL MUNICIPIO DE BUCARAMANGA</v>
      </c>
      <c r="E956" s="13" t="s">
        <v>2020</v>
      </c>
      <c r="F956" s="15" t="s">
        <v>22</v>
      </c>
      <c r="G956" s="22" t="s">
        <v>23</v>
      </c>
      <c r="H956" s="21" t="s">
        <v>23</v>
      </c>
      <c r="I956" s="13" t="s">
        <v>132</v>
      </c>
      <c r="J956" s="13" t="s">
        <v>1603</v>
      </c>
      <c r="K956" s="16">
        <v>45148</v>
      </c>
      <c r="L956" s="17">
        <v>719800</v>
      </c>
      <c r="M956" s="17">
        <v>719800</v>
      </c>
      <c r="N956" s="18">
        <v>719800</v>
      </c>
      <c r="O956" s="15" t="s">
        <v>23</v>
      </c>
      <c r="Q956" s="13">
        <v>9455</v>
      </c>
      <c r="R956" s="13" t="s">
        <v>1462</v>
      </c>
      <c r="S956" s="13" t="s">
        <v>135</v>
      </c>
      <c r="T956" s="13" t="s">
        <v>16</v>
      </c>
      <c r="U956" s="17">
        <f t="shared" si="30"/>
        <v>0</v>
      </c>
    </row>
    <row r="957" spans="1:21" x14ac:dyDescent="0.3">
      <c r="A957" s="13">
        <v>286</v>
      </c>
      <c r="B957" s="13" t="str">
        <f>+VLOOKUP(A957,'[1]PA 2023'!$A$8:$E$84,5)</f>
        <v>Mantener el beneficio al 100% de los ediles con pago de EPS, ARL, póliza de vida y dotación.</v>
      </c>
      <c r="C957" s="14">
        <v>2022680010029</v>
      </c>
      <c r="D957" s="14" t="str">
        <f>+VLOOKUP(C957,'[1]PA 2023'!$G$8:$H$84,2,FALSE)</f>
        <v>FORTALECIMIENTO DE LA PARTICIPACIÓN CIUDADANA EN EL MUNICIPIO DE BUCARAMANGA</v>
      </c>
      <c r="E957" s="13" t="s">
        <v>2021</v>
      </c>
      <c r="F957" s="15" t="s">
        <v>22</v>
      </c>
      <c r="G957" s="22" t="s">
        <v>23</v>
      </c>
      <c r="H957" s="21" t="s">
        <v>23</v>
      </c>
      <c r="I957" s="13" t="s">
        <v>137</v>
      </c>
      <c r="J957" s="13" t="s">
        <v>1603</v>
      </c>
      <c r="K957" s="16">
        <v>45148</v>
      </c>
      <c r="L957" s="17">
        <v>145000</v>
      </c>
      <c r="M957" s="17">
        <v>145000</v>
      </c>
      <c r="N957" s="18">
        <v>145000</v>
      </c>
      <c r="O957" s="15" t="s">
        <v>23</v>
      </c>
      <c r="Q957" s="13">
        <v>9456</v>
      </c>
      <c r="R957" s="13" t="s">
        <v>1462</v>
      </c>
      <c r="S957" s="13" t="s">
        <v>138</v>
      </c>
      <c r="T957" s="13" t="s">
        <v>16</v>
      </c>
      <c r="U957" s="17">
        <f t="shared" si="30"/>
        <v>0</v>
      </c>
    </row>
    <row r="958" spans="1:21" x14ac:dyDescent="0.3">
      <c r="A958" s="13">
        <v>286</v>
      </c>
      <c r="B958" s="13" t="str">
        <f>+VLOOKUP(A958,'[1]PA 2023'!$A$8:$E$84,5)</f>
        <v>Mantener el beneficio al 100% de los ediles con pago de EPS, ARL, póliza de vida y dotación.</v>
      </c>
      <c r="C958" s="14">
        <v>2022680010029</v>
      </c>
      <c r="D958" s="14" t="str">
        <f>+VLOOKUP(C958,'[1]PA 2023'!$G$8:$H$84,2,FALSE)</f>
        <v>FORTALECIMIENTO DE LA PARTICIPACIÓN CIUDADANA EN EL MUNICIPIO DE BUCARAMANGA</v>
      </c>
      <c r="E958" s="13" t="s">
        <v>2021</v>
      </c>
      <c r="F958" s="15" t="s">
        <v>22</v>
      </c>
      <c r="G958" s="22" t="s">
        <v>23</v>
      </c>
      <c r="H958" s="21" t="s">
        <v>23</v>
      </c>
      <c r="I958" s="13" t="s">
        <v>139</v>
      </c>
      <c r="J958" s="13" t="s">
        <v>1603</v>
      </c>
      <c r="K958" s="16">
        <v>45148</v>
      </c>
      <c r="L958" s="17">
        <v>870000</v>
      </c>
      <c r="M958" s="17">
        <v>870000</v>
      </c>
      <c r="N958" s="18">
        <v>870000</v>
      </c>
      <c r="O958" s="15" t="s">
        <v>23</v>
      </c>
      <c r="Q958" s="13">
        <v>9457</v>
      </c>
      <c r="R958" s="13" t="s">
        <v>1462</v>
      </c>
      <c r="S958" s="13" t="s">
        <v>140</v>
      </c>
      <c r="T958" s="13" t="s">
        <v>16</v>
      </c>
      <c r="U958" s="17">
        <f t="shared" si="30"/>
        <v>0</v>
      </c>
    </row>
    <row r="959" spans="1:21" x14ac:dyDescent="0.3">
      <c r="A959" s="13">
        <v>286</v>
      </c>
      <c r="B959" s="13" t="str">
        <f>+VLOOKUP(A959,'[1]PA 2023'!$A$8:$E$84,5)</f>
        <v>Mantener el beneficio al 100% de los ediles con pago de EPS, ARL, póliza de vida y dotación.</v>
      </c>
      <c r="C959" s="14">
        <v>2022680010029</v>
      </c>
      <c r="D959" s="14" t="str">
        <f>+VLOOKUP(C959,'[1]PA 2023'!$G$8:$H$84,2,FALSE)</f>
        <v>FORTALECIMIENTO DE LA PARTICIPACIÓN CIUDADANA EN EL MUNICIPIO DE BUCARAMANGA</v>
      </c>
      <c r="E959" s="13" t="s">
        <v>2022</v>
      </c>
      <c r="F959" s="15" t="s">
        <v>22</v>
      </c>
      <c r="G959" s="22" t="s">
        <v>23</v>
      </c>
      <c r="H959" s="21" t="s">
        <v>23</v>
      </c>
      <c r="I959" s="13" t="s">
        <v>139</v>
      </c>
      <c r="J959" s="13" t="s">
        <v>1603</v>
      </c>
      <c r="K959" s="16">
        <v>45148</v>
      </c>
      <c r="L959" s="17">
        <v>435000</v>
      </c>
      <c r="M959" s="17">
        <v>435000</v>
      </c>
      <c r="N959" s="18">
        <v>435000</v>
      </c>
      <c r="O959" s="15" t="s">
        <v>23</v>
      </c>
      <c r="Q959" s="13">
        <v>9458</v>
      </c>
      <c r="R959" s="13" t="s">
        <v>1462</v>
      </c>
      <c r="S959" s="13" t="s">
        <v>140</v>
      </c>
      <c r="T959" s="13" t="s">
        <v>16</v>
      </c>
      <c r="U959" s="17">
        <f t="shared" si="30"/>
        <v>0</v>
      </c>
    </row>
    <row r="960" spans="1:21" x14ac:dyDescent="0.3">
      <c r="A960" s="13">
        <v>286</v>
      </c>
      <c r="B960" s="13" t="str">
        <f>+VLOOKUP(A960,'[1]PA 2023'!$A$8:$E$84,5)</f>
        <v>Mantener el beneficio al 100% de los ediles con pago de EPS, ARL, póliza de vida y dotación.</v>
      </c>
      <c r="C960" s="14">
        <v>2022680010029</v>
      </c>
      <c r="D960" s="14" t="str">
        <f>+VLOOKUP(C960,'[1]PA 2023'!$G$8:$H$84,2,FALSE)</f>
        <v>FORTALECIMIENTO DE LA PARTICIPACIÓN CIUDADANA EN EL MUNICIPIO DE BUCARAMANGA</v>
      </c>
      <c r="E960" s="13" t="s">
        <v>2022</v>
      </c>
      <c r="F960" s="15" t="s">
        <v>22</v>
      </c>
      <c r="G960" s="22" t="s">
        <v>23</v>
      </c>
      <c r="H960" s="21" t="s">
        <v>23</v>
      </c>
      <c r="I960" s="13" t="s">
        <v>141</v>
      </c>
      <c r="J960" s="13" t="s">
        <v>1603</v>
      </c>
      <c r="K960" s="16">
        <v>45148</v>
      </c>
      <c r="L960" s="17">
        <v>1740000</v>
      </c>
      <c r="M960" s="17">
        <v>1740000</v>
      </c>
      <c r="N960" s="18">
        <v>1740000</v>
      </c>
      <c r="O960" s="15" t="s">
        <v>23</v>
      </c>
      <c r="Q960" s="13">
        <v>9459</v>
      </c>
      <c r="R960" s="13" t="s">
        <v>1462</v>
      </c>
      <c r="S960" s="13" t="s">
        <v>142</v>
      </c>
      <c r="T960" s="13" t="s">
        <v>16</v>
      </c>
      <c r="U960" s="17">
        <f t="shared" si="30"/>
        <v>0</v>
      </c>
    </row>
    <row r="961" spans="1:21" x14ac:dyDescent="0.3">
      <c r="A961" s="13">
        <v>286</v>
      </c>
      <c r="B961" s="13" t="str">
        <f>+VLOOKUP(A961,'[1]PA 2023'!$A$8:$E$84,5)</f>
        <v>Mantener el beneficio al 100% de los ediles con pago de EPS, ARL, póliza de vida y dotación.</v>
      </c>
      <c r="C961" s="14">
        <v>2022680010029</v>
      </c>
      <c r="D961" s="14" t="str">
        <f>+VLOOKUP(C961,'[1]PA 2023'!$G$8:$H$84,2,FALSE)</f>
        <v>FORTALECIMIENTO DE LA PARTICIPACIÓN CIUDADANA EN EL MUNICIPIO DE BUCARAMANGA</v>
      </c>
      <c r="E961" s="13" t="s">
        <v>2022</v>
      </c>
      <c r="F961" s="15" t="s">
        <v>22</v>
      </c>
      <c r="G961" s="22" t="s">
        <v>23</v>
      </c>
      <c r="H961" s="21" t="s">
        <v>23</v>
      </c>
      <c r="I961" s="13" t="s">
        <v>143</v>
      </c>
      <c r="J961" s="13" t="s">
        <v>1603</v>
      </c>
      <c r="K961" s="16">
        <v>45148</v>
      </c>
      <c r="L961" s="17">
        <v>1160000</v>
      </c>
      <c r="M961" s="17">
        <v>1160000</v>
      </c>
      <c r="N961" s="18">
        <v>1160000</v>
      </c>
      <c r="O961" s="15" t="s">
        <v>23</v>
      </c>
      <c r="Q961" s="13">
        <v>9460</v>
      </c>
      <c r="R961" s="13" t="s">
        <v>1462</v>
      </c>
      <c r="S961" s="13" t="s">
        <v>144</v>
      </c>
      <c r="T961" s="13" t="s">
        <v>16</v>
      </c>
      <c r="U961" s="17">
        <f t="shared" si="30"/>
        <v>0</v>
      </c>
    </row>
    <row r="962" spans="1:21" x14ac:dyDescent="0.3">
      <c r="A962" s="13">
        <v>286</v>
      </c>
      <c r="B962" s="13" t="str">
        <f>+VLOOKUP(A962,'[1]PA 2023'!$A$8:$E$84,5)</f>
        <v>Mantener el beneficio al 100% de los ediles con pago de EPS, ARL, póliza de vida y dotación.</v>
      </c>
      <c r="C962" s="14">
        <v>2022680010029</v>
      </c>
      <c r="D962" s="14" t="str">
        <f>+VLOOKUP(C962,'[1]PA 2023'!$G$8:$H$84,2,FALSE)</f>
        <v>FORTALECIMIENTO DE LA PARTICIPACIÓN CIUDADANA EN EL MUNICIPIO DE BUCARAMANGA</v>
      </c>
      <c r="E962" s="13" t="s">
        <v>2022</v>
      </c>
      <c r="F962" s="15" t="s">
        <v>22</v>
      </c>
      <c r="G962" s="22" t="s">
        <v>23</v>
      </c>
      <c r="H962" s="21" t="s">
        <v>23</v>
      </c>
      <c r="I962" s="13" t="s">
        <v>145</v>
      </c>
      <c r="J962" s="13" t="s">
        <v>1603</v>
      </c>
      <c r="K962" s="16">
        <v>45148</v>
      </c>
      <c r="L962" s="17">
        <v>580000</v>
      </c>
      <c r="M962" s="17">
        <v>580000</v>
      </c>
      <c r="N962" s="18">
        <v>580000</v>
      </c>
      <c r="O962" s="15" t="s">
        <v>23</v>
      </c>
      <c r="Q962" s="13">
        <v>9461</v>
      </c>
      <c r="R962" s="13" t="s">
        <v>1462</v>
      </c>
      <c r="S962" s="13" t="s">
        <v>146</v>
      </c>
      <c r="T962" s="13" t="s">
        <v>16</v>
      </c>
      <c r="U962" s="17">
        <f t="shared" si="30"/>
        <v>0</v>
      </c>
    </row>
    <row r="963" spans="1:21" x14ac:dyDescent="0.3">
      <c r="A963" s="13">
        <v>286</v>
      </c>
      <c r="B963" s="13" t="str">
        <f>+VLOOKUP(A963,'[1]PA 2023'!$A$8:$E$84,5)</f>
        <v>Mantener el beneficio al 100% de los ediles con pago de EPS, ARL, póliza de vida y dotación.</v>
      </c>
      <c r="C963" s="14">
        <v>2022680010029</v>
      </c>
      <c r="D963" s="14" t="str">
        <f>+VLOOKUP(C963,'[1]PA 2023'!$G$8:$H$84,2,FALSE)</f>
        <v>FORTALECIMIENTO DE LA PARTICIPACIÓN CIUDADANA EN EL MUNICIPIO DE BUCARAMANGA</v>
      </c>
      <c r="E963" s="13" t="s">
        <v>2022</v>
      </c>
      <c r="F963" s="15" t="s">
        <v>22</v>
      </c>
      <c r="G963" s="22" t="s">
        <v>23</v>
      </c>
      <c r="H963" s="21" t="s">
        <v>23</v>
      </c>
      <c r="I963" s="13" t="s">
        <v>147</v>
      </c>
      <c r="J963" s="13" t="s">
        <v>1603</v>
      </c>
      <c r="K963" s="16">
        <v>45148</v>
      </c>
      <c r="L963" s="17">
        <v>4495000</v>
      </c>
      <c r="M963" s="17">
        <v>4495000</v>
      </c>
      <c r="N963" s="18">
        <v>4495000</v>
      </c>
      <c r="O963" s="15" t="s">
        <v>23</v>
      </c>
      <c r="Q963" s="13">
        <v>9462</v>
      </c>
      <c r="R963" s="13" t="s">
        <v>1462</v>
      </c>
      <c r="S963" s="13" t="s">
        <v>148</v>
      </c>
      <c r="T963" s="13" t="s">
        <v>16</v>
      </c>
      <c r="U963" s="17">
        <f t="shared" si="30"/>
        <v>0</v>
      </c>
    </row>
    <row r="964" spans="1:21" x14ac:dyDescent="0.3">
      <c r="A964" s="13">
        <v>286</v>
      </c>
      <c r="B964" s="13" t="str">
        <f>+VLOOKUP(A964,'[1]PA 2023'!$A$8:$E$84,5)</f>
        <v>Mantener el beneficio al 100% de los ediles con pago de EPS, ARL, póliza de vida y dotación.</v>
      </c>
      <c r="C964" s="14">
        <v>2022680010029</v>
      </c>
      <c r="D964" s="14" t="str">
        <f>+VLOOKUP(C964,'[1]PA 2023'!$G$8:$H$84,2,FALSE)</f>
        <v>FORTALECIMIENTO DE LA PARTICIPACIÓN CIUDADANA EN EL MUNICIPIO DE BUCARAMANGA</v>
      </c>
      <c r="E964" s="13" t="s">
        <v>2022</v>
      </c>
      <c r="F964" s="15" t="s">
        <v>22</v>
      </c>
      <c r="G964" s="22" t="s">
        <v>23</v>
      </c>
      <c r="H964" s="21" t="s">
        <v>23</v>
      </c>
      <c r="I964" s="13" t="s">
        <v>147</v>
      </c>
      <c r="J964" s="13" t="s">
        <v>1603</v>
      </c>
      <c r="K964" s="16">
        <v>45148</v>
      </c>
      <c r="L964" s="17">
        <v>725000</v>
      </c>
      <c r="M964" s="17">
        <v>725000</v>
      </c>
      <c r="N964" s="18">
        <v>725000</v>
      </c>
      <c r="O964" s="15" t="s">
        <v>23</v>
      </c>
      <c r="Q964" s="13">
        <v>9463</v>
      </c>
      <c r="R964" s="13" t="s">
        <v>1462</v>
      </c>
      <c r="S964" s="13" t="s">
        <v>148</v>
      </c>
      <c r="T964" s="13" t="s">
        <v>16</v>
      </c>
      <c r="U964" s="17">
        <f t="shared" si="30"/>
        <v>0</v>
      </c>
    </row>
    <row r="965" spans="1:21" x14ac:dyDescent="0.3">
      <c r="A965" s="13">
        <v>286</v>
      </c>
      <c r="B965" s="13" t="str">
        <f>+VLOOKUP(A965,'[1]PA 2023'!$A$8:$E$84,5)</f>
        <v>Mantener el beneficio al 100% de los ediles con pago de EPS, ARL, póliza de vida y dotación.</v>
      </c>
      <c r="C965" s="14">
        <v>2022680010029</v>
      </c>
      <c r="D965" s="14" t="str">
        <f>+VLOOKUP(C965,'[1]PA 2023'!$G$8:$H$84,2,FALSE)</f>
        <v>FORTALECIMIENTO DE LA PARTICIPACIÓN CIUDADANA EN EL MUNICIPIO DE BUCARAMANGA</v>
      </c>
      <c r="E965" s="13" t="s">
        <v>2022</v>
      </c>
      <c r="F965" s="15" t="s">
        <v>22</v>
      </c>
      <c r="G965" s="22" t="s">
        <v>23</v>
      </c>
      <c r="H965" s="21" t="s">
        <v>23</v>
      </c>
      <c r="I965" s="13" t="s">
        <v>149</v>
      </c>
      <c r="J965" s="13" t="s">
        <v>1603</v>
      </c>
      <c r="K965" s="16">
        <v>45148</v>
      </c>
      <c r="L965" s="17">
        <v>1015000</v>
      </c>
      <c r="M965" s="17">
        <v>1015000</v>
      </c>
      <c r="N965" s="18">
        <v>1015000</v>
      </c>
      <c r="O965" s="15" t="s">
        <v>23</v>
      </c>
      <c r="Q965" s="13">
        <v>9464</v>
      </c>
      <c r="R965" s="13" t="s">
        <v>1462</v>
      </c>
      <c r="S965" s="13" t="s">
        <v>150</v>
      </c>
      <c r="T965" s="13" t="s">
        <v>16</v>
      </c>
      <c r="U965" s="17">
        <f t="shared" si="30"/>
        <v>0</v>
      </c>
    </row>
    <row r="966" spans="1:21" x14ac:dyDescent="0.3">
      <c r="A966" s="13">
        <v>286</v>
      </c>
      <c r="B966" s="13" t="str">
        <f>+VLOOKUP(A966,'[1]PA 2023'!$A$8:$E$84,5)</f>
        <v>Mantener el beneficio al 100% de los ediles con pago de EPS, ARL, póliza de vida y dotación.</v>
      </c>
      <c r="C966" s="14">
        <v>2022680010029</v>
      </c>
      <c r="D966" s="14" t="str">
        <f>+VLOOKUP(C966,'[1]PA 2023'!$G$8:$H$84,2,FALSE)</f>
        <v>FORTALECIMIENTO DE LA PARTICIPACIÓN CIUDADANA EN EL MUNICIPIO DE BUCARAMANGA</v>
      </c>
      <c r="E966" s="13" t="s">
        <v>2022</v>
      </c>
      <c r="F966" s="15" t="s">
        <v>22</v>
      </c>
      <c r="G966" s="22" t="s">
        <v>23</v>
      </c>
      <c r="H966" s="21" t="s">
        <v>23</v>
      </c>
      <c r="I966" s="13" t="s">
        <v>151</v>
      </c>
      <c r="J966" s="13" t="s">
        <v>1603</v>
      </c>
      <c r="K966" s="16">
        <v>45148</v>
      </c>
      <c r="L966" s="17">
        <v>3335000</v>
      </c>
      <c r="M966" s="17">
        <v>3335000</v>
      </c>
      <c r="N966" s="18">
        <v>3335000</v>
      </c>
      <c r="O966" s="15" t="s">
        <v>23</v>
      </c>
      <c r="Q966" s="13">
        <v>9465</v>
      </c>
      <c r="R966" s="13" t="s">
        <v>1462</v>
      </c>
      <c r="S966" s="13" t="s">
        <v>152</v>
      </c>
      <c r="T966" s="13" t="s">
        <v>16</v>
      </c>
      <c r="U966" s="17">
        <f t="shared" si="30"/>
        <v>0</v>
      </c>
    </row>
    <row r="967" spans="1:21" x14ac:dyDescent="0.3">
      <c r="A967" s="13">
        <v>286</v>
      </c>
      <c r="B967" s="13" t="str">
        <f>+VLOOKUP(A967,'[1]PA 2023'!$A$8:$E$84,5)</f>
        <v>Mantener el beneficio al 100% de los ediles con pago de EPS, ARL, póliza de vida y dotación.</v>
      </c>
      <c r="C967" s="14">
        <v>2022680010029</v>
      </c>
      <c r="D967" s="14" t="str">
        <f>+VLOOKUP(C967,'[1]PA 2023'!$G$8:$H$84,2,FALSE)</f>
        <v>FORTALECIMIENTO DE LA PARTICIPACIÓN CIUDADANA EN EL MUNICIPIO DE BUCARAMANGA</v>
      </c>
      <c r="E967" s="13" t="s">
        <v>2022</v>
      </c>
      <c r="F967" s="15" t="s">
        <v>22</v>
      </c>
      <c r="G967" s="22" t="s">
        <v>23</v>
      </c>
      <c r="H967" s="21" t="s">
        <v>23</v>
      </c>
      <c r="I967" s="13" t="s">
        <v>153</v>
      </c>
      <c r="J967" s="13" t="s">
        <v>1603</v>
      </c>
      <c r="K967" s="16">
        <v>45148</v>
      </c>
      <c r="L967" s="17">
        <v>2610000</v>
      </c>
      <c r="M967" s="17">
        <v>2610000</v>
      </c>
      <c r="N967" s="18">
        <v>2610000</v>
      </c>
      <c r="O967" s="15" t="s">
        <v>23</v>
      </c>
      <c r="Q967" s="13">
        <v>9466</v>
      </c>
      <c r="R967" s="13" t="s">
        <v>1462</v>
      </c>
      <c r="S967" s="13" t="s">
        <v>154</v>
      </c>
      <c r="T967" s="13" t="s">
        <v>16</v>
      </c>
      <c r="U967" s="17">
        <f t="shared" si="30"/>
        <v>0</v>
      </c>
    </row>
    <row r="968" spans="1:21" x14ac:dyDescent="0.3">
      <c r="A968" s="13">
        <v>93</v>
      </c>
      <c r="B968" s="13" t="str">
        <f>+VLOOKUP(A968,'[1]PA 2023'!$A$8:$E$84,5)</f>
        <v>Mantener en funcionamiento los 3 Centros Vida con la prestacion de servicios integrales y/o dotacion de los mismos cumpliendo con la oferta institucional.</v>
      </c>
      <c r="C968" s="14">
        <v>2020680010040</v>
      </c>
      <c r="D968" s="14" t="str">
        <f>+VLOOKUP(C968,'[1]PA 2023'!$G$8:$H$84,2,FALSE)</f>
        <v>IMPLEMENTACIÓN DE ACCIONES TENDIENTES A MEJORAR LAS CONDICIONES DE LOS ADULTOS MAYORES DEL MUNICIPIO DE BUCARAMANGA</v>
      </c>
      <c r="E968" s="13" t="s">
        <v>2023</v>
      </c>
      <c r="F968" s="15" t="s">
        <v>22</v>
      </c>
      <c r="G968" s="22" t="s">
        <v>23</v>
      </c>
      <c r="H968" s="21" t="s">
        <v>23</v>
      </c>
      <c r="I968" s="13" t="s">
        <v>29</v>
      </c>
      <c r="J968" s="13" t="s">
        <v>25</v>
      </c>
      <c r="K968" s="16">
        <v>45148</v>
      </c>
      <c r="L968" s="17">
        <v>63650</v>
      </c>
      <c r="M968" s="17">
        <v>63650</v>
      </c>
      <c r="N968" s="18">
        <v>63650</v>
      </c>
      <c r="O968" s="15" t="s">
        <v>23</v>
      </c>
      <c r="Q968" s="13">
        <v>9467</v>
      </c>
      <c r="R968" s="13" t="s">
        <v>26</v>
      </c>
      <c r="S968" s="13" t="s">
        <v>30</v>
      </c>
      <c r="T968" s="13" t="s">
        <v>16</v>
      </c>
      <c r="U968" s="17">
        <f t="shared" si="30"/>
        <v>0</v>
      </c>
    </row>
    <row r="969" spans="1:21" x14ac:dyDescent="0.3">
      <c r="A969" s="13">
        <v>71</v>
      </c>
      <c r="B969" s="13" t="str">
        <f>+VLOOKUP(A969,'[1]PA 2023'!$A$8:$E$84,5)</f>
        <v>Formular e implementar 1 estrategia de corresponsabilidad en la garantía de derechos, la prevención de vulneración, amenaza o riesgo en el ámbito familiar, comunitario e institucional.</v>
      </c>
      <c r="C969" s="14">
        <v>2022680010056</v>
      </c>
      <c r="D969" s="14" t="str">
        <f>+VLOOKUP(C969,'[1]PA 2023'!$G$8:$H$84,2,FALSE)</f>
        <v>APOYO EN LOS PROCESOS DE ATENCIÓN INTEGRAL DE LOS NIÑOS Y NIÑAS EN EL ESPACIO DE CUIDADO Y ALBERGUE "CASA BÚHO" EN EL MUNICIPIO DE BUCARAMANGA</v>
      </c>
      <c r="E969" s="13" t="s">
        <v>2024</v>
      </c>
      <c r="F969" s="15" t="s">
        <v>22</v>
      </c>
      <c r="G969" s="22" t="s">
        <v>23</v>
      </c>
      <c r="H969" s="21" t="s">
        <v>23</v>
      </c>
      <c r="I969" s="13" t="s">
        <v>29</v>
      </c>
      <c r="J969" s="13" t="s">
        <v>970</v>
      </c>
      <c r="K969" s="16">
        <v>45148</v>
      </c>
      <c r="L969" s="17">
        <v>30370</v>
      </c>
      <c r="M969" s="17">
        <v>30370</v>
      </c>
      <c r="N969" s="18">
        <v>30370</v>
      </c>
      <c r="O969" s="15" t="s">
        <v>23</v>
      </c>
      <c r="Q969" s="13">
        <v>9468</v>
      </c>
      <c r="R969" s="13" t="s">
        <v>170</v>
      </c>
      <c r="S969" s="13" t="s">
        <v>30</v>
      </c>
      <c r="T969" s="13" t="s">
        <v>16</v>
      </c>
      <c r="U969" s="17">
        <f t="shared" si="30"/>
        <v>0</v>
      </c>
    </row>
    <row r="970" spans="1:21" x14ac:dyDescent="0.3">
      <c r="A970" s="13">
        <v>93</v>
      </c>
      <c r="B970" s="13" t="str">
        <f>+VLOOKUP(A970,'[1]PA 2023'!$A$8:$E$84,5)</f>
        <v>Mantener en funcionamiento los 3 Centros Vida con la prestacion de servicios integrales y/o dotacion de los mismos cumpliendo con la oferta institucional.</v>
      </c>
      <c r="C970" s="14">
        <v>2020680010040</v>
      </c>
      <c r="D970" s="14" t="str">
        <f>+VLOOKUP(C970,'[1]PA 2023'!$G$8:$H$84,2,FALSE)</f>
        <v>IMPLEMENTACIÓN DE ACCIONES TENDIENTES A MEJORAR LAS CONDICIONES DE LOS ADULTOS MAYORES DEL MUNICIPIO DE BUCARAMANGA</v>
      </c>
      <c r="E970" s="13" t="s">
        <v>2025</v>
      </c>
      <c r="F970" s="15" t="s">
        <v>22</v>
      </c>
      <c r="G970" s="22" t="s">
        <v>23</v>
      </c>
      <c r="H970" s="21" t="s">
        <v>23</v>
      </c>
      <c r="I970" s="13" t="s">
        <v>470</v>
      </c>
      <c r="J970" s="13" t="s">
        <v>25</v>
      </c>
      <c r="K970" s="16">
        <v>45152</v>
      </c>
      <c r="L970" s="17">
        <v>579198</v>
      </c>
      <c r="M970" s="17">
        <v>579198</v>
      </c>
      <c r="N970" s="18">
        <v>579198</v>
      </c>
      <c r="O970" s="15" t="s">
        <v>23</v>
      </c>
      <c r="Q970" s="13">
        <v>9707</v>
      </c>
      <c r="R970" s="23" t="s">
        <v>26</v>
      </c>
      <c r="S970" s="13" t="s">
        <v>471</v>
      </c>
      <c r="T970" s="13" t="s">
        <v>16</v>
      </c>
      <c r="U970" s="17">
        <f t="shared" si="30"/>
        <v>0</v>
      </c>
    </row>
    <row r="971" spans="1:21" x14ac:dyDescent="0.3">
      <c r="A971" s="13">
        <v>111</v>
      </c>
      <c r="B971" s="13" t="str">
        <f>+VLOOKUP(A971,'[1]PA 2023'!$A$8:$E$84,5)</f>
        <v xml:space="preserve">Mantener la identificación, caracterización y seguimiento de la situación de cada habitante de calle atendido por la Secretaría de Desarrollo Social. </v>
      </c>
      <c r="C971" s="14">
        <v>2020680010050</v>
      </c>
      <c r="D971" s="14" t="str">
        <f>+VLOOKUP(C971,'[1]PA 2023'!$G$8:$H$84,2,FALSE)</f>
        <v>DESARROLLO DE ACCIONES ENCAMINADAS A GENERAR ATENCIÓN INTEGRAL HACIA LA POBLACIÓN HABITANTES EN SITUACIÓN DE CALLE DEL MUNICIPIO DE BUCARAMANGA</v>
      </c>
      <c r="E971" s="13" t="s">
        <v>2025</v>
      </c>
      <c r="F971" s="15" t="s">
        <v>22</v>
      </c>
      <c r="G971" s="22" t="s">
        <v>23</v>
      </c>
      <c r="H971" s="21" t="s">
        <v>23</v>
      </c>
      <c r="I971" s="13" t="s">
        <v>470</v>
      </c>
      <c r="J971" s="13" t="s">
        <v>768</v>
      </c>
      <c r="K971" s="16">
        <v>45152</v>
      </c>
      <c r="L971" s="17">
        <v>203801</v>
      </c>
      <c r="M971" s="17">
        <v>203801</v>
      </c>
      <c r="N971" s="18">
        <v>203801</v>
      </c>
      <c r="O971" s="15" t="s">
        <v>23</v>
      </c>
      <c r="Q971" s="13">
        <v>9707</v>
      </c>
      <c r="R971" s="23" t="s">
        <v>770</v>
      </c>
      <c r="S971" s="13" t="s">
        <v>471</v>
      </c>
      <c r="T971" s="13" t="s">
        <v>16</v>
      </c>
      <c r="U971" s="17">
        <f t="shared" si="30"/>
        <v>0</v>
      </c>
    </row>
    <row r="972" spans="1:21" x14ac:dyDescent="0.3">
      <c r="A972" s="13">
        <v>105</v>
      </c>
      <c r="B972" s="13" t="str">
        <f>+VLOOKUP(A972,'[1]PA 2023'!$A$8:$E$84,5)</f>
        <v>Mantener el Centro Integral de la Mujer a fin de garantizar el fortalecimiento de los procesos de atención y empoderamiento femenino.</v>
      </c>
      <c r="C972" s="14">
        <v>2020680010106</v>
      </c>
      <c r="D972" s="14" t="str">
        <f>+VLOOKUP(C972,'[1]PA 2023'!$G$8:$H$84,2,FALSE)</f>
        <v>FORTALECIMIENTO DE ESPACIOS DE PARTICIPACIÓN Y PREVENCIÓN DE VIOLENCIAS EN MUJERES Y POBLACIÓN CON ORIENTACIONES SEXUALES E IDENTIDADES DE GÉNERO DIVERSAS DEL MUNICIPIO DE BUCARAMANGA</v>
      </c>
      <c r="E972" s="13" t="s">
        <v>2025</v>
      </c>
      <c r="F972" s="15" t="s">
        <v>22</v>
      </c>
      <c r="G972" s="22" t="s">
        <v>23</v>
      </c>
      <c r="H972" s="21" t="s">
        <v>23</v>
      </c>
      <c r="I972" s="13" t="s">
        <v>470</v>
      </c>
      <c r="J972" s="13" t="s">
        <v>378</v>
      </c>
      <c r="K972" s="16">
        <v>45152</v>
      </c>
      <c r="L972" s="17">
        <v>203801</v>
      </c>
      <c r="M972" s="17">
        <v>203801</v>
      </c>
      <c r="N972" s="18">
        <v>203801</v>
      </c>
      <c r="O972" s="15" t="s">
        <v>23</v>
      </c>
      <c r="Q972" s="13">
        <v>9707</v>
      </c>
      <c r="R972" s="23" t="s">
        <v>380</v>
      </c>
      <c r="S972" s="13" t="s">
        <v>471</v>
      </c>
      <c r="T972" s="13" t="s">
        <v>16</v>
      </c>
      <c r="U972" s="17">
        <f t="shared" si="30"/>
        <v>0</v>
      </c>
    </row>
    <row r="973" spans="1:21" x14ac:dyDescent="0.3">
      <c r="A973" s="13">
        <v>285</v>
      </c>
      <c r="B973" s="13" t="str">
        <f>+VLOOKUP(A973,'[1]PA 2023'!$A$8:$E$84,5)</f>
        <v>Mantener en funcionamiento el 100% de los salones comunales que hacen parte del programa Ágoras.</v>
      </c>
      <c r="C973" s="14">
        <v>2022680010029</v>
      </c>
      <c r="D973" s="14" t="str">
        <f>+VLOOKUP(C973,'[1]PA 2023'!$G$8:$H$84,2,FALSE)</f>
        <v>FORTALECIMIENTO DE LA PARTICIPACIÓN CIUDADANA EN EL MUNICIPIO DE BUCARAMANGA</v>
      </c>
      <c r="E973" s="13" t="s">
        <v>2026</v>
      </c>
      <c r="F973" s="15" t="s">
        <v>22</v>
      </c>
      <c r="G973" s="22" t="s">
        <v>23</v>
      </c>
      <c r="H973" s="21" t="s">
        <v>23</v>
      </c>
      <c r="I973" s="13" t="s">
        <v>470</v>
      </c>
      <c r="J973" s="13" t="s">
        <v>1130</v>
      </c>
      <c r="K973" s="16">
        <v>45152</v>
      </c>
      <c r="L973" s="17">
        <v>1177608</v>
      </c>
      <c r="M973" s="17">
        <v>1177608</v>
      </c>
      <c r="N973" s="18">
        <v>1177608</v>
      </c>
      <c r="O973" s="15" t="s">
        <v>23</v>
      </c>
      <c r="Q973" s="13">
        <v>9708</v>
      </c>
      <c r="R973" s="13" t="s">
        <v>134</v>
      </c>
      <c r="S973" s="13" t="s">
        <v>471</v>
      </c>
      <c r="T973" s="13" t="s">
        <v>16</v>
      </c>
      <c r="U973" s="17">
        <f t="shared" si="30"/>
        <v>0</v>
      </c>
    </row>
    <row r="974" spans="1:21" x14ac:dyDescent="0.3">
      <c r="A974" s="13">
        <v>98</v>
      </c>
      <c r="B974" s="13" t="str">
        <f>+VLOOKUP(A974,'[1]PA 2023'!$A$8:$E$84,5)</f>
        <v>Mantener el 100% del apoyo logístico a las familias beneficiadas del programa Familias en Acción.</v>
      </c>
      <c r="C974" s="14">
        <v>2020680010072</v>
      </c>
      <c r="D974" s="14" t="str">
        <f>+VLOOKUP(C974,'[1]PA 2023'!$G$8:$H$84,2,FALSE)</f>
        <v>APOYO A LA OPERATIVIDAD DEL PROGRAMA NACIONAL MÁS FAMILIAS EN ACCIÓN EN EL MUNICIPIO DE BUCARAMANGA</v>
      </c>
      <c r="E974" s="13" t="s">
        <v>2027</v>
      </c>
      <c r="F974" s="15" t="s">
        <v>22</v>
      </c>
      <c r="G974" s="22" t="s">
        <v>23</v>
      </c>
      <c r="H974" s="21" t="s">
        <v>23</v>
      </c>
      <c r="I974" s="13" t="s">
        <v>470</v>
      </c>
      <c r="J974" s="13" t="s">
        <v>472</v>
      </c>
      <c r="K974" s="16">
        <v>45152</v>
      </c>
      <c r="L974" s="17">
        <v>59342.29</v>
      </c>
      <c r="M974" s="17">
        <v>59342.29</v>
      </c>
      <c r="N974" s="18">
        <v>59342.29</v>
      </c>
      <c r="O974" s="15" t="s">
        <v>23</v>
      </c>
      <c r="Q974" s="13">
        <v>9709</v>
      </c>
      <c r="R974" s="23" t="s">
        <v>473</v>
      </c>
      <c r="S974" s="13" t="s">
        <v>471</v>
      </c>
      <c r="T974" s="13" t="s">
        <v>16</v>
      </c>
      <c r="U974" s="17">
        <f t="shared" si="30"/>
        <v>0</v>
      </c>
    </row>
    <row r="975" spans="1:21" x14ac:dyDescent="0.3">
      <c r="A975" s="13">
        <v>93</v>
      </c>
      <c r="B975" s="13" t="str">
        <f>+VLOOKUP(A975,'[1]PA 2023'!$A$8:$E$84,5)</f>
        <v>Mantener en funcionamiento los 3 Centros Vida con la prestacion de servicios integrales y/o dotacion de los mismos cumpliendo con la oferta institucional.</v>
      </c>
      <c r="C975" s="14">
        <v>2020680010040</v>
      </c>
      <c r="D975" s="14" t="str">
        <f>+VLOOKUP(C975,'[1]PA 2023'!$G$8:$H$84,2,FALSE)</f>
        <v>IMPLEMENTACIÓN DE ACCIONES TENDIENTES A MEJORAR LAS CONDICIONES DE LOS ADULTOS MAYORES DEL MUNICIPIO DE BUCARAMANGA</v>
      </c>
      <c r="E975" s="13" t="s">
        <v>2027</v>
      </c>
      <c r="F975" s="15" t="s">
        <v>22</v>
      </c>
      <c r="G975" s="22" t="s">
        <v>23</v>
      </c>
      <c r="H975" s="21" t="s">
        <v>23</v>
      </c>
      <c r="I975" s="13" t="s">
        <v>470</v>
      </c>
      <c r="J975" s="13" t="s">
        <v>25</v>
      </c>
      <c r="K975" s="16">
        <v>45152</v>
      </c>
      <c r="L975" s="17">
        <v>93432.56</v>
      </c>
      <c r="M975" s="17">
        <v>93432.56</v>
      </c>
      <c r="N975" s="18">
        <v>93432.56</v>
      </c>
      <c r="O975" s="15" t="s">
        <v>23</v>
      </c>
      <c r="Q975" s="13">
        <v>9709</v>
      </c>
      <c r="R975" s="23" t="s">
        <v>26</v>
      </c>
      <c r="S975" s="13" t="s">
        <v>471</v>
      </c>
      <c r="T975" s="13" t="s">
        <v>16</v>
      </c>
      <c r="U975" s="17">
        <f t="shared" si="30"/>
        <v>0</v>
      </c>
    </row>
    <row r="976" spans="1:21" x14ac:dyDescent="0.3">
      <c r="A976" s="13">
        <v>283</v>
      </c>
      <c r="B976" s="13" t="str">
        <f>+VLOOKUP(A976,'[1]PA 2023'!$A$8:$E$84,5)</f>
        <v>Formular e implementar 1 estrategia que fortalezca la democracia participativa (Ley 1757 de 2015).</v>
      </c>
      <c r="C976" s="14">
        <v>2022680010029</v>
      </c>
      <c r="D976" s="14" t="str">
        <f>+VLOOKUP(C976,'[1]PA 2023'!$G$8:$H$84,2,FALSE)</f>
        <v>FORTALECIMIENTO DE LA PARTICIPACIÓN CIUDADANA EN EL MUNICIPIO DE BUCARAMANGA</v>
      </c>
      <c r="E976" s="13" t="s">
        <v>2027</v>
      </c>
      <c r="F976" s="15" t="s">
        <v>22</v>
      </c>
      <c r="G976" s="22" t="s">
        <v>23</v>
      </c>
      <c r="H976" s="21" t="s">
        <v>23</v>
      </c>
      <c r="I976" s="13" t="s">
        <v>470</v>
      </c>
      <c r="J976" s="13" t="s">
        <v>468</v>
      </c>
      <c r="K976" s="16">
        <v>45152</v>
      </c>
      <c r="L976" s="17">
        <v>59342.29</v>
      </c>
      <c r="M976" s="17">
        <v>59342.29</v>
      </c>
      <c r="N976" s="18">
        <v>59342.29</v>
      </c>
      <c r="O976" s="15" t="s">
        <v>23</v>
      </c>
      <c r="Q976" s="13">
        <v>9709</v>
      </c>
      <c r="R976" s="23" t="s">
        <v>134</v>
      </c>
      <c r="S976" s="13" t="s">
        <v>471</v>
      </c>
      <c r="T976" s="13" t="s">
        <v>16</v>
      </c>
      <c r="U976" s="17">
        <f t="shared" si="30"/>
        <v>0</v>
      </c>
    </row>
    <row r="977" spans="1:21" x14ac:dyDescent="0.3">
      <c r="A977" s="13">
        <v>93</v>
      </c>
      <c r="B977" s="13" t="str">
        <f>+VLOOKUP(A977,'[1]PA 2023'!$A$8:$E$84,5)</f>
        <v>Mantener en funcionamiento los 3 Centros Vida con la prestacion de servicios integrales y/o dotacion de los mismos cumpliendo con la oferta institucional.</v>
      </c>
      <c r="C977" s="14">
        <v>2020680010040</v>
      </c>
      <c r="D977" s="14" t="str">
        <f>+VLOOKUP(C977,'[1]PA 2023'!$G$8:$H$84,2,FALSE)</f>
        <v>IMPLEMENTACIÓN DE ACCIONES TENDIENTES A MEJORAR LAS CONDICIONES DE LOS ADULTOS MAYORES DEL MUNICIPIO DE BUCARAMANGA</v>
      </c>
      <c r="E977" s="13" t="s">
        <v>2028</v>
      </c>
      <c r="F977" s="15" t="s">
        <v>22</v>
      </c>
      <c r="G977" s="22" t="s">
        <v>23</v>
      </c>
      <c r="H977" s="21" t="s">
        <v>23</v>
      </c>
      <c r="I977" s="13" t="s">
        <v>32</v>
      </c>
      <c r="J977" s="13" t="s">
        <v>25</v>
      </c>
      <c r="K977" s="16">
        <v>45152</v>
      </c>
      <c r="L977" s="17">
        <v>114680</v>
      </c>
      <c r="M977" s="17">
        <v>114680</v>
      </c>
      <c r="N977" s="18">
        <v>114680</v>
      </c>
      <c r="O977" s="15" t="s">
        <v>23</v>
      </c>
      <c r="Q977" s="13">
        <v>9710</v>
      </c>
      <c r="R977" s="13" t="s">
        <v>26</v>
      </c>
      <c r="S977" s="13" t="s">
        <v>33</v>
      </c>
      <c r="T977" s="13" t="s">
        <v>16</v>
      </c>
      <c r="U977" s="17">
        <f t="shared" si="30"/>
        <v>0</v>
      </c>
    </row>
    <row r="978" spans="1:21" x14ac:dyDescent="0.3">
      <c r="A978" s="13">
        <v>90</v>
      </c>
      <c r="B978" s="13" t="str">
        <f>+VLOOKUP(A978,'[1]PA 2023'!$A$8:$E$84,5)</f>
        <v>Beneficiar a 7.000 personas mayores vulnerables de los diferentes barrios del municipio con la oferta de servicios de atencion primaria en salud, recreacion y aprovechamiento del tiempo libre.</v>
      </c>
      <c r="C978" s="14">
        <v>2020680010040</v>
      </c>
      <c r="D978" s="14" t="str">
        <f>+VLOOKUP(C978,'[1]PA 2023'!$G$8:$H$84,2,FALSE)</f>
        <v>IMPLEMENTACIÓN DE ACCIONES TENDIENTES A MEJORAR LAS CONDICIONES DE LOS ADULTOS MAYORES DEL MUNICIPIO DE BUCARAMANGA</v>
      </c>
      <c r="E978" s="13" t="s">
        <v>1512</v>
      </c>
      <c r="F978" s="15">
        <v>2437</v>
      </c>
      <c r="G978" s="21" t="s">
        <v>43</v>
      </c>
      <c r="H978" s="21" t="s">
        <v>36</v>
      </c>
      <c r="I978" s="13" t="s">
        <v>693</v>
      </c>
      <c r="J978" s="13" t="s">
        <v>574</v>
      </c>
      <c r="K978" s="16">
        <v>45153</v>
      </c>
      <c r="L978" s="17">
        <v>-10700000</v>
      </c>
      <c r="M978" s="17">
        <v>-10700000</v>
      </c>
      <c r="N978" s="18">
        <v>0</v>
      </c>
      <c r="O978" s="22" t="s">
        <v>1513</v>
      </c>
      <c r="Q978" s="13">
        <v>6641</v>
      </c>
      <c r="R978" s="23" t="s">
        <v>26</v>
      </c>
      <c r="S978" s="13" t="s">
        <v>695</v>
      </c>
      <c r="T978" s="13" t="s">
        <v>16</v>
      </c>
      <c r="U978" s="26">
        <v>0</v>
      </c>
    </row>
    <row r="979" spans="1:21" x14ac:dyDescent="0.3">
      <c r="A979" s="13">
        <v>110</v>
      </c>
      <c r="B979" s="13" t="str">
        <f>+VLOOKUP(A979,'[1]PA 2023'!$A$8:$E$84,5)</f>
        <v>Atender el 100% de la solicitudes realizadas por éste grupo poblacional y sus familias con orientación psicosocial y jurídica.</v>
      </c>
      <c r="C979" s="14">
        <v>2020680010106</v>
      </c>
      <c r="D979" s="14" t="str">
        <f>+VLOOKUP(C979,'[1]PA 2023'!$G$8:$H$84,2,FALSE)</f>
        <v>FORTALECIMIENTO DE ESPACIOS DE PARTICIPACIÓN Y PREVENCIÓN DE VIOLENCIAS EN MUJERES Y POBLACIÓN CON ORIENTACIONES SEXUALES E IDENTIDADES DE GÉNERO DIVERSAS DEL MUNICIPIO DE BUCARAMANGA</v>
      </c>
      <c r="E979" s="13" t="s">
        <v>1594</v>
      </c>
      <c r="F979" s="15">
        <v>2559</v>
      </c>
      <c r="G979" s="21" t="s">
        <v>43</v>
      </c>
      <c r="H979" s="21" t="s">
        <v>36</v>
      </c>
      <c r="I979" s="13" t="s">
        <v>475</v>
      </c>
      <c r="J979" s="13" t="s">
        <v>378</v>
      </c>
      <c r="K979" s="16">
        <v>45153</v>
      </c>
      <c r="L979" s="17">
        <v>-14666666.67</v>
      </c>
      <c r="M979" s="17">
        <v>-14666666.67</v>
      </c>
      <c r="N979" s="18">
        <v>0</v>
      </c>
      <c r="O979" s="22" t="s">
        <v>1595</v>
      </c>
      <c r="Q979" s="13">
        <v>6860</v>
      </c>
      <c r="R979" s="23" t="s">
        <v>380</v>
      </c>
      <c r="S979" s="13" t="s">
        <v>477</v>
      </c>
      <c r="T979" s="13" t="s">
        <v>16</v>
      </c>
      <c r="U979" s="26">
        <v>0</v>
      </c>
    </row>
    <row r="980" spans="1:21" x14ac:dyDescent="0.3">
      <c r="A980" s="13">
        <v>92</v>
      </c>
      <c r="B980" s="13" t="str">
        <f>+VLOOKUP(A980,'[1]PA 2023'!$A$8:$E$84,5)</f>
        <v>Mantener a 1.656 personas mayores vulnerables con atencion integral en instituciones especializadas a través de las modalidades centros vida y centros de bienestar en el marco de la Ley 1276 de 2009.</v>
      </c>
      <c r="C980" s="14">
        <v>2020680010040</v>
      </c>
      <c r="D980" s="14" t="str">
        <f>+VLOOKUP(C980,'[1]PA 2023'!$G$8:$H$84,2,FALSE)</f>
        <v>IMPLEMENTACIÓN DE ACCIONES TENDIENTES A MEJORAR LAS CONDICIONES DE LOS ADULTOS MAYORES DEL MUNICIPIO DE BUCARAMANGA</v>
      </c>
      <c r="E980" s="13" t="s">
        <v>2029</v>
      </c>
      <c r="F980" s="15">
        <v>48</v>
      </c>
      <c r="G980" s="22" t="s">
        <v>184</v>
      </c>
      <c r="H980" s="21" t="s">
        <v>1901</v>
      </c>
      <c r="I980" s="13" t="s">
        <v>371</v>
      </c>
      <c r="J980" s="13" t="s">
        <v>2030</v>
      </c>
      <c r="K980" s="16">
        <v>45153</v>
      </c>
      <c r="L980" s="17">
        <v>34100880</v>
      </c>
      <c r="M980" s="17">
        <v>34100880</v>
      </c>
      <c r="N980" s="18">
        <v>31672484</v>
      </c>
      <c r="O980" s="22" t="s">
        <v>1135</v>
      </c>
      <c r="Q980" s="13">
        <v>9753</v>
      </c>
      <c r="R980" s="13" t="s">
        <v>2031</v>
      </c>
      <c r="S980" s="13" t="s">
        <v>375</v>
      </c>
      <c r="T980" s="13" t="s">
        <v>16</v>
      </c>
      <c r="U980" s="17">
        <f t="shared" ref="U980:U1003" si="31">+M980-N980</f>
        <v>2428396</v>
      </c>
    </row>
    <row r="981" spans="1:21" x14ac:dyDescent="0.3">
      <c r="A981" s="13">
        <v>92</v>
      </c>
      <c r="B981" s="13" t="str">
        <f>+VLOOKUP(A981,'[1]PA 2023'!$A$8:$E$84,5)</f>
        <v>Mantener a 1.656 personas mayores vulnerables con atencion integral en instituciones especializadas a través de las modalidades centros vida y centros de bienestar en el marco de la Ley 1276 de 2009.</v>
      </c>
      <c r="C981" s="14">
        <v>2020680010040</v>
      </c>
      <c r="D981" s="14" t="str">
        <f>+VLOOKUP(C981,'[1]PA 2023'!$G$8:$H$84,2,FALSE)</f>
        <v>IMPLEMENTACIÓN DE ACCIONES TENDIENTES A MEJORAR LAS CONDICIONES DE LOS ADULTOS MAYORES DEL MUNICIPIO DE BUCARAMANGA</v>
      </c>
      <c r="E981" s="13" t="s">
        <v>2029</v>
      </c>
      <c r="F981" s="15">
        <v>48</v>
      </c>
      <c r="G981" s="22" t="s">
        <v>184</v>
      </c>
      <c r="H981" s="21" t="s">
        <v>1901</v>
      </c>
      <c r="I981" s="13" t="s">
        <v>371</v>
      </c>
      <c r="J981" s="13" t="s">
        <v>2032</v>
      </c>
      <c r="K981" s="16">
        <v>45153</v>
      </c>
      <c r="L981" s="17">
        <v>17290050</v>
      </c>
      <c r="M981" s="17">
        <v>17290050</v>
      </c>
      <c r="N981" s="18">
        <v>6394950</v>
      </c>
      <c r="O981" s="22" t="s">
        <v>1135</v>
      </c>
      <c r="Q981" s="13">
        <v>9754</v>
      </c>
      <c r="R981" s="13" t="s">
        <v>2033</v>
      </c>
      <c r="S981" s="13" t="s">
        <v>375</v>
      </c>
      <c r="T981" s="13" t="s">
        <v>16</v>
      </c>
      <c r="U981" s="17">
        <f t="shared" si="31"/>
        <v>10895100</v>
      </c>
    </row>
    <row r="982" spans="1:21" x14ac:dyDescent="0.3">
      <c r="A982" s="13">
        <v>285</v>
      </c>
      <c r="B982" s="13" t="str">
        <f>+VLOOKUP(A982,'[1]PA 2023'!$A$8:$E$84,5)</f>
        <v>Mantener en funcionamiento el 100% de los salones comunales que hacen parte del programa Ágoras.</v>
      </c>
      <c r="C982" s="14">
        <v>2022680010029</v>
      </c>
      <c r="D982" s="14" t="str">
        <f>+VLOOKUP(C982,'[1]PA 2023'!$G$8:$H$84,2,FALSE)</f>
        <v>FORTALECIMIENTO DE LA PARTICIPACIÓN CIUDADANA EN EL MUNICIPIO DE BUCARAMANGA</v>
      </c>
      <c r="E982" s="13" t="s">
        <v>2034</v>
      </c>
      <c r="F982" s="15" t="s">
        <v>22</v>
      </c>
      <c r="G982" s="22" t="s">
        <v>23</v>
      </c>
      <c r="H982" s="21" t="s">
        <v>23</v>
      </c>
      <c r="I982" s="13" t="s">
        <v>901</v>
      </c>
      <c r="J982" s="13" t="s">
        <v>1130</v>
      </c>
      <c r="K982" s="16">
        <v>45153</v>
      </c>
      <c r="L982" s="17">
        <v>84585</v>
      </c>
      <c r="M982" s="17">
        <v>84585</v>
      </c>
      <c r="N982" s="18">
        <v>84585</v>
      </c>
      <c r="O982" s="15" t="s">
        <v>23</v>
      </c>
      <c r="Q982" s="13">
        <v>9755</v>
      </c>
      <c r="R982" s="13" t="s">
        <v>134</v>
      </c>
      <c r="S982" s="13" t="s">
        <v>902</v>
      </c>
      <c r="T982" s="13" t="s">
        <v>16</v>
      </c>
      <c r="U982" s="17">
        <f t="shared" si="31"/>
        <v>0</v>
      </c>
    </row>
    <row r="983" spans="1:21" x14ac:dyDescent="0.3">
      <c r="A983" s="13">
        <v>92</v>
      </c>
      <c r="B983" s="13" t="str">
        <f>+VLOOKUP(A983,'[1]PA 2023'!$A$8:$E$84,5)</f>
        <v>Mantener a 1.656 personas mayores vulnerables con atencion integral en instituciones especializadas a través de las modalidades centros vida y centros de bienestar en el marco de la Ley 1276 de 2009.</v>
      </c>
      <c r="C983" s="14">
        <v>2020680010040</v>
      </c>
      <c r="D983" s="14" t="str">
        <f>+VLOOKUP(C983,'[1]PA 2023'!$G$8:$H$84,2,FALSE)</f>
        <v>IMPLEMENTACIÓN DE ACCIONES TENDIENTES A MEJORAR LAS CONDICIONES DE LOS ADULTOS MAYORES DEL MUNICIPIO DE BUCARAMANGA</v>
      </c>
      <c r="E983" s="13" t="s">
        <v>2035</v>
      </c>
      <c r="F983" s="15">
        <v>50</v>
      </c>
      <c r="G983" s="22" t="s">
        <v>184</v>
      </c>
      <c r="H983" s="21" t="s">
        <v>1901</v>
      </c>
      <c r="I983" s="13" t="s">
        <v>2036</v>
      </c>
      <c r="J983" s="13" t="s">
        <v>2032</v>
      </c>
      <c r="K983" s="16">
        <v>45154</v>
      </c>
      <c r="L983" s="17">
        <v>58423521</v>
      </c>
      <c r="M983" s="17">
        <v>58423521</v>
      </c>
      <c r="N983" s="18">
        <v>36711750</v>
      </c>
      <c r="O983" s="22" t="s">
        <v>1136</v>
      </c>
      <c r="Q983" s="13">
        <v>9830</v>
      </c>
      <c r="R983" s="23" t="s">
        <v>2033</v>
      </c>
      <c r="S983" s="13" t="s">
        <v>387</v>
      </c>
      <c r="T983" s="13" t="s">
        <v>16</v>
      </c>
      <c r="U983" s="17">
        <f t="shared" si="31"/>
        <v>21711771</v>
      </c>
    </row>
    <row r="984" spans="1:21" x14ac:dyDescent="0.3">
      <c r="A984" s="13">
        <v>92</v>
      </c>
      <c r="B984" s="13" t="str">
        <f>+VLOOKUP(A984,'[1]PA 2023'!$A$8:$E$84,5)</f>
        <v>Mantener a 1.656 personas mayores vulnerables con atencion integral en instituciones especializadas a través de las modalidades centros vida y centros de bienestar en el marco de la Ley 1276 de 2009.</v>
      </c>
      <c r="C984" s="14">
        <v>2020680010040</v>
      </c>
      <c r="D984" s="14" t="str">
        <f>+VLOOKUP(C984,'[1]PA 2023'!$G$8:$H$84,2,FALSE)</f>
        <v>IMPLEMENTACIÓN DE ACCIONES TENDIENTES A MEJORAR LAS CONDICIONES DE LOS ADULTOS MAYORES DEL MUNICIPIO DE BUCARAMANGA</v>
      </c>
      <c r="E984" s="13" t="s">
        <v>2035</v>
      </c>
      <c r="F984" s="15">
        <v>50</v>
      </c>
      <c r="G984" s="22" t="s">
        <v>184</v>
      </c>
      <c r="H984" s="21" t="s">
        <v>1901</v>
      </c>
      <c r="I984" s="13" t="s">
        <v>2036</v>
      </c>
      <c r="J984" s="13" t="s">
        <v>384</v>
      </c>
      <c r="K984" s="16">
        <v>45154</v>
      </c>
      <c r="L984" s="17">
        <v>26842479</v>
      </c>
      <c r="M984" s="17">
        <v>26842479</v>
      </c>
      <c r="N984" s="18">
        <v>0</v>
      </c>
      <c r="O984" s="22" t="s">
        <v>1136</v>
      </c>
      <c r="Q984" s="13">
        <v>9830</v>
      </c>
      <c r="R984" s="23" t="s">
        <v>2037</v>
      </c>
      <c r="S984" s="13" t="s">
        <v>387</v>
      </c>
      <c r="T984" s="13" t="s">
        <v>16</v>
      </c>
      <c r="U984" s="17">
        <f t="shared" si="31"/>
        <v>26842479</v>
      </c>
    </row>
    <row r="985" spans="1:21" x14ac:dyDescent="0.3">
      <c r="A985" s="13">
        <v>92</v>
      </c>
      <c r="B985" s="13" t="str">
        <f>+VLOOKUP(A985,'[1]PA 2023'!$A$8:$E$84,5)</f>
        <v>Mantener a 1.656 personas mayores vulnerables con atencion integral en instituciones especializadas a través de las modalidades centros vida y centros de bienestar en el marco de la Ley 1276 de 2009.</v>
      </c>
      <c r="C985" s="14">
        <v>2020680010040</v>
      </c>
      <c r="D985" s="14" t="str">
        <f>+VLOOKUP(C985,'[1]PA 2023'!$G$8:$H$84,2,FALSE)</f>
        <v>IMPLEMENTACIÓN DE ACCIONES TENDIENTES A MEJORAR LAS CONDICIONES DE LOS ADULTOS MAYORES DEL MUNICIPIO DE BUCARAMANGA</v>
      </c>
      <c r="E985" s="13" t="s">
        <v>2038</v>
      </c>
      <c r="F985" s="15">
        <v>49</v>
      </c>
      <c r="G985" s="22" t="s">
        <v>184</v>
      </c>
      <c r="H985" s="21" t="s">
        <v>1901</v>
      </c>
      <c r="I985" s="13" t="s">
        <v>389</v>
      </c>
      <c r="J985" s="13" t="s">
        <v>2032</v>
      </c>
      <c r="K985" s="16">
        <v>45154</v>
      </c>
      <c r="L985" s="17">
        <v>193269600</v>
      </c>
      <c r="M985" s="17">
        <v>193269600</v>
      </c>
      <c r="N985" s="18">
        <v>77023620</v>
      </c>
      <c r="O985" s="22" t="s">
        <v>1147</v>
      </c>
      <c r="Q985" s="13">
        <v>9831</v>
      </c>
      <c r="R985" s="13" t="s">
        <v>2033</v>
      </c>
      <c r="S985" s="13" t="s">
        <v>391</v>
      </c>
      <c r="T985" s="13" t="s">
        <v>16</v>
      </c>
      <c r="U985" s="17">
        <f t="shared" si="31"/>
        <v>116245980</v>
      </c>
    </row>
    <row r="986" spans="1:21" x14ac:dyDescent="0.3">
      <c r="A986" s="13">
        <v>92</v>
      </c>
      <c r="B986" s="13" t="str">
        <f>+VLOOKUP(A986,'[1]PA 2023'!$A$8:$E$84,5)</f>
        <v>Mantener a 1.656 personas mayores vulnerables con atencion integral en instituciones especializadas a través de las modalidades centros vida y centros de bienestar en el marco de la Ley 1276 de 2009.</v>
      </c>
      <c r="C986" s="14">
        <v>2020680010040</v>
      </c>
      <c r="D986" s="14" t="str">
        <f>+VLOOKUP(C986,'[1]PA 2023'!$G$8:$H$84,2,FALSE)</f>
        <v>IMPLEMENTACIÓN DE ACCIONES TENDIENTES A MEJORAR LAS CONDICIONES DE LOS ADULTOS MAYORES DEL MUNICIPIO DE BUCARAMANGA</v>
      </c>
      <c r="E986" s="13" t="s">
        <v>2039</v>
      </c>
      <c r="F986" s="15">
        <v>49</v>
      </c>
      <c r="G986" s="22" t="s">
        <v>184</v>
      </c>
      <c r="H986" s="21" t="s">
        <v>1901</v>
      </c>
      <c r="I986" s="13" t="s">
        <v>389</v>
      </c>
      <c r="J986" s="13" t="s">
        <v>2030</v>
      </c>
      <c r="K986" s="16">
        <v>45154</v>
      </c>
      <c r="L986" s="17">
        <v>87835600</v>
      </c>
      <c r="M986" s="17">
        <v>87835600</v>
      </c>
      <c r="N986" s="18">
        <v>0</v>
      </c>
      <c r="O986" s="22" t="s">
        <v>1147</v>
      </c>
      <c r="Q986" s="13">
        <v>9832</v>
      </c>
      <c r="R986" s="13" t="s">
        <v>2031</v>
      </c>
      <c r="S986" s="13" t="s">
        <v>391</v>
      </c>
      <c r="T986" s="13" t="s">
        <v>16</v>
      </c>
      <c r="U986" s="17">
        <f t="shared" si="31"/>
        <v>87835600</v>
      </c>
    </row>
    <row r="987" spans="1:21" x14ac:dyDescent="0.3">
      <c r="A987" s="13">
        <v>92</v>
      </c>
      <c r="B987" s="13" t="str">
        <f>+VLOOKUP(A987,'[1]PA 2023'!$A$8:$E$84,5)</f>
        <v>Mantener a 1.656 personas mayores vulnerables con atencion integral en instituciones especializadas a través de las modalidades centros vida y centros de bienestar en el marco de la Ley 1276 de 2009.</v>
      </c>
      <c r="C987" s="14">
        <v>2020680010040</v>
      </c>
      <c r="D987" s="14" t="str">
        <f>+VLOOKUP(C987,'[1]PA 2023'!$G$8:$H$84,2,FALSE)</f>
        <v>IMPLEMENTACIÓN DE ACCIONES TENDIENTES A MEJORAR LAS CONDICIONES DE LOS ADULTOS MAYORES DEL MUNICIPIO DE BUCARAMANGA</v>
      </c>
      <c r="E987" s="13" t="s">
        <v>2040</v>
      </c>
      <c r="F987" s="15">
        <v>57</v>
      </c>
      <c r="G987" s="22" t="s">
        <v>184</v>
      </c>
      <c r="H987" s="21" t="s">
        <v>1901</v>
      </c>
      <c r="I987" s="13" t="s">
        <v>425</v>
      </c>
      <c r="J987" s="13" t="s">
        <v>2032</v>
      </c>
      <c r="K987" s="16">
        <v>45154</v>
      </c>
      <c r="L987" s="17">
        <v>34106400</v>
      </c>
      <c r="M987" s="17">
        <v>34106400</v>
      </c>
      <c r="N987" s="18">
        <v>14368900</v>
      </c>
      <c r="O987" s="22" t="s">
        <v>1158</v>
      </c>
      <c r="Q987" s="13">
        <v>9838</v>
      </c>
      <c r="R987" s="13" t="s">
        <v>2033</v>
      </c>
      <c r="S987" s="13" t="s">
        <v>427</v>
      </c>
      <c r="T987" s="13" t="s">
        <v>16</v>
      </c>
      <c r="U987" s="17">
        <f t="shared" si="31"/>
        <v>19737500</v>
      </c>
    </row>
    <row r="988" spans="1:21" x14ac:dyDescent="0.3">
      <c r="A988" s="13">
        <v>92</v>
      </c>
      <c r="B988" s="13" t="str">
        <f>+VLOOKUP(A988,'[1]PA 2023'!$A$8:$E$84,5)</f>
        <v>Mantener a 1.656 personas mayores vulnerables con atencion integral en instituciones especializadas a través de las modalidades centros vida y centros de bienestar en el marco de la Ley 1276 de 2009.</v>
      </c>
      <c r="C988" s="14">
        <v>2020680010040</v>
      </c>
      <c r="D988" s="14" t="str">
        <f>+VLOOKUP(C988,'[1]PA 2023'!$G$8:$H$84,2,FALSE)</f>
        <v>IMPLEMENTACIÓN DE ACCIONES TENDIENTES A MEJORAR LAS CONDICIONES DE LOS ADULTOS MAYORES DEL MUNICIPIO DE BUCARAMANGA</v>
      </c>
      <c r="E988" s="13" t="s">
        <v>2040</v>
      </c>
      <c r="F988" s="15">
        <v>57</v>
      </c>
      <c r="G988" s="22" t="s">
        <v>184</v>
      </c>
      <c r="H988" s="21" t="s">
        <v>1901</v>
      </c>
      <c r="I988" s="13" t="s">
        <v>425</v>
      </c>
      <c r="J988" s="13" t="s">
        <v>2030</v>
      </c>
      <c r="K988" s="16">
        <v>45154</v>
      </c>
      <c r="L988" s="17">
        <v>21313050</v>
      </c>
      <c r="M988" s="17">
        <v>21313050</v>
      </c>
      <c r="N988" s="18">
        <v>20021350</v>
      </c>
      <c r="O988" s="22" t="s">
        <v>1158</v>
      </c>
      <c r="Q988" s="13">
        <v>9839</v>
      </c>
      <c r="R988" s="13" t="s">
        <v>2031</v>
      </c>
      <c r="S988" s="13" t="s">
        <v>427</v>
      </c>
      <c r="T988" s="13" t="s">
        <v>16</v>
      </c>
      <c r="U988" s="17">
        <f t="shared" si="31"/>
        <v>1291700</v>
      </c>
    </row>
    <row r="989" spans="1:21" x14ac:dyDescent="0.3">
      <c r="A989" s="13">
        <v>92</v>
      </c>
      <c r="B989" s="13" t="str">
        <f>+VLOOKUP(A989,'[1]PA 2023'!$A$8:$E$84,5)</f>
        <v>Mantener a 1.656 personas mayores vulnerables con atencion integral en instituciones especializadas a través de las modalidades centros vida y centros de bienestar en el marco de la Ley 1276 de 2009.</v>
      </c>
      <c r="C989" s="14">
        <v>2020680010040</v>
      </c>
      <c r="D989" s="14" t="str">
        <f>+VLOOKUP(C989,'[1]PA 2023'!$G$8:$H$84,2,FALSE)</f>
        <v>IMPLEMENTACIÓN DE ACCIONES TENDIENTES A MEJORAR LAS CONDICIONES DE LOS ADULTOS MAYORES DEL MUNICIPIO DE BUCARAMANGA</v>
      </c>
      <c r="E989" s="13" t="s">
        <v>2041</v>
      </c>
      <c r="F989" s="15">
        <v>46</v>
      </c>
      <c r="G989" s="22" t="s">
        <v>184</v>
      </c>
      <c r="H989" s="21" t="s">
        <v>1901</v>
      </c>
      <c r="I989" s="13" t="s">
        <v>421</v>
      </c>
      <c r="J989" s="13" t="s">
        <v>2030</v>
      </c>
      <c r="K989" s="16">
        <v>45154</v>
      </c>
      <c r="L989" s="17">
        <v>94939950</v>
      </c>
      <c r="M989" s="17">
        <v>94939950</v>
      </c>
      <c r="N989" s="18">
        <v>0</v>
      </c>
      <c r="O989" s="22" t="s">
        <v>1124</v>
      </c>
      <c r="Q989" s="13">
        <v>9849</v>
      </c>
      <c r="R989" s="13" t="s">
        <v>2031</v>
      </c>
      <c r="S989" s="13" t="s">
        <v>423</v>
      </c>
      <c r="T989" s="13" t="s">
        <v>16</v>
      </c>
      <c r="U989" s="17">
        <f t="shared" si="31"/>
        <v>94939950</v>
      </c>
    </row>
    <row r="990" spans="1:21" x14ac:dyDescent="0.3">
      <c r="A990" s="13">
        <v>92</v>
      </c>
      <c r="B990" s="13" t="str">
        <f>+VLOOKUP(A990,'[1]PA 2023'!$A$8:$E$84,5)</f>
        <v>Mantener a 1.656 personas mayores vulnerables con atencion integral en instituciones especializadas a través de las modalidades centros vida y centros de bienestar en el marco de la Ley 1276 de 2009.</v>
      </c>
      <c r="C990" s="14">
        <v>2020680010040</v>
      </c>
      <c r="D990" s="14" t="str">
        <f>+VLOOKUP(C990,'[1]PA 2023'!$G$8:$H$84,2,FALSE)</f>
        <v>IMPLEMENTACIÓN DE ACCIONES TENDIENTES A MEJORAR LAS CONDICIONES DE LOS ADULTOS MAYORES DEL MUNICIPIO DE BUCARAMANGA</v>
      </c>
      <c r="E990" s="13" t="s">
        <v>2042</v>
      </c>
      <c r="F990" s="15">
        <v>46</v>
      </c>
      <c r="G990" s="22" t="s">
        <v>184</v>
      </c>
      <c r="H990" s="21" t="s">
        <v>1901</v>
      </c>
      <c r="I990" s="13" t="s">
        <v>421</v>
      </c>
      <c r="J990" s="13" t="s">
        <v>2032</v>
      </c>
      <c r="K990" s="16">
        <v>45154</v>
      </c>
      <c r="L990" s="17">
        <v>68212800</v>
      </c>
      <c r="M990" s="17">
        <v>68212800</v>
      </c>
      <c r="N990" s="18">
        <v>14286071</v>
      </c>
      <c r="O990" s="22" t="s">
        <v>1124</v>
      </c>
      <c r="Q990" s="13">
        <v>9850</v>
      </c>
      <c r="R990" s="13" t="s">
        <v>2033</v>
      </c>
      <c r="S990" s="13" t="s">
        <v>423</v>
      </c>
      <c r="T990" s="13" t="s">
        <v>16</v>
      </c>
      <c r="U990" s="17">
        <f t="shared" si="31"/>
        <v>53926729</v>
      </c>
    </row>
    <row r="991" spans="1:21" x14ac:dyDescent="0.3">
      <c r="A991" s="13">
        <v>92</v>
      </c>
      <c r="B991" s="13" t="str">
        <f>+VLOOKUP(A991,'[1]PA 2023'!$A$8:$E$84,5)</f>
        <v>Mantener a 1.656 personas mayores vulnerables con atencion integral en instituciones especializadas a través de las modalidades centros vida y centros de bienestar en el marco de la Ley 1276 de 2009.</v>
      </c>
      <c r="C991" s="14">
        <v>2020680010040</v>
      </c>
      <c r="D991" s="14" t="str">
        <f>+VLOOKUP(C991,'[1]PA 2023'!$G$8:$H$84,2,FALSE)</f>
        <v>IMPLEMENTACIÓN DE ACCIONES TENDIENTES A MEJORAR LAS CONDICIONES DE LOS ADULTOS MAYORES DEL MUNICIPIO DE BUCARAMANGA</v>
      </c>
      <c r="E991" s="13" t="s">
        <v>2043</v>
      </c>
      <c r="F991" s="15">
        <v>52</v>
      </c>
      <c r="G991" s="22" t="s">
        <v>184</v>
      </c>
      <c r="H991" s="21" t="s">
        <v>1901</v>
      </c>
      <c r="I991" s="13" t="s">
        <v>413</v>
      </c>
      <c r="J991" s="13" t="s">
        <v>2032</v>
      </c>
      <c r="K991" s="16">
        <v>45154</v>
      </c>
      <c r="L991" s="17">
        <v>125056800</v>
      </c>
      <c r="M991" s="17">
        <v>125056800</v>
      </c>
      <c r="N991" s="18">
        <v>23862105</v>
      </c>
      <c r="O991" s="22" t="s">
        <v>1155</v>
      </c>
      <c r="Q991" s="13">
        <v>9851</v>
      </c>
      <c r="R991" s="13" t="s">
        <v>2033</v>
      </c>
      <c r="S991" s="13" t="s">
        <v>415</v>
      </c>
      <c r="T991" s="13" t="s">
        <v>16</v>
      </c>
      <c r="U991" s="17">
        <f t="shared" si="31"/>
        <v>101194695</v>
      </c>
    </row>
    <row r="992" spans="1:21" x14ac:dyDescent="0.3">
      <c r="A992" s="13">
        <v>92</v>
      </c>
      <c r="B992" s="13" t="str">
        <f>+VLOOKUP(A992,'[1]PA 2023'!$A$8:$E$84,5)</f>
        <v>Mantener a 1.656 personas mayores vulnerables con atencion integral en instituciones especializadas a través de las modalidades centros vida y centros de bienestar en el marco de la Ley 1276 de 2009.</v>
      </c>
      <c r="C992" s="14">
        <v>2020680010040</v>
      </c>
      <c r="D992" s="14" t="str">
        <f>+VLOOKUP(C992,'[1]PA 2023'!$G$8:$H$84,2,FALSE)</f>
        <v>IMPLEMENTACIÓN DE ACCIONES TENDIENTES A MEJORAR LAS CONDICIONES DE LOS ADULTOS MAYORES DEL MUNICIPIO DE BUCARAMANGA</v>
      </c>
      <c r="E992" s="13" t="s">
        <v>2043</v>
      </c>
      <c r="F992" s="15">
        <v>52</v>
      </c>
      <c r="G992" s="22" t="s">
        <v>184</v>
      </c>
      <c r="H992" s="21" t="s">
        <v>1901</v>
      </c>
      <c r="I992" s="13" t="s">
        <v>413</v>
      </c>
      <c r="J992" s="13" t="s">
        <v>2030</v>
      </c>
      <c r="K992" s="16">
        <v>45154</v>
      </c>
      <c r="L992" s="17">
        <v>48309580</v>
      </c>
      <c r="M992" s="17">
        <v>48309580</v>
      </c>
      <c r="N992" s="18">
        <v>11670947</v>
      </c>
      <c r="O992" s="22" t="s">
        <v>1155</v>
      </c>
      <c r="Q992" s="13">
        <v>9852</v>
      </c>
      <c r="R992" s="13" t="s">
        <v>2031</v>
      </c>
      <c r="S992" s="13" t="s">
        <v>415</v>
      </c>
      <c r="T992" s="13" t="s">
        <v>16</v>
      </c>
      <c r="U992" s="17">
        <f t="shared" si="31"/>
        <v>36638633</v>
      </c>
    </row>
    <row r="993" spans="1:21" x14ac:dyDescent="0.3">
      <c r="A993" s="13">
        <v>92</v>
      </c>
      <c r="B993" s="13" t="str">
        <f>+VLOOKUP(A993,'[1]PA 2023'!$A$8:$E$84,5)</f>
        <v>Mantener a 1.656 personas mayores vulnerables con atencion integral en instituciones especializadas a través de las modalidades centros vida y centros de bienestar en el marco de la Ley 1276 de 2009.</v>
      </c>
      <c r="C993" s="14">
        <v>2020680010040</v>
      </c>
      <c r="D993" s="14" t="str">
        <f>+VLOOKUP(C993,'[1]PA 2023'!$G$8:$H$84,2,FALSE)</f>
        <v>IMPLEMENTACIÓN DE ACCIONES TENDIENTES A MEJORAR LAS CONDICIONES DE LOS ADULTOS MAYORES DEL MUNICIPIO DE BUCARAMANGA</v>
      </c>
      <c r="E993" s="13" t="s">
        <v>2044</v>
      </c>
      <c r="F993" s="15">
        <v>58</v>
      </c>
      <c r="G993" s="22" t="s">
        <v>184</v>
      </c>
      <c r="H993" s="21" t="s">
        <v>1901</v>
      </c>
      <c r="I993" s="13" t="s">
        <v>435</v>
      </c>
      <c r="J993" s="13" t="s">
        <v>2030</v>
      </c>
      <c r="K993" s="16">
        <v>45155</v>
      </c>
      <c r="L993" s="17">
        <v>45183666</v>
      </c>
      <c r="M993" s="17">
        <v>45183666</v>
      </c>
      <c r="N993" s="18">
        <v>0</v>
      </c>
      <c r="O993" s="22" t="s">
        <v>1157</v>
      </c>
      <c r="Q993" s="13">
        <v>9873</v>
      </c>
      <c r="R993" s="13" t="s">
        <v>2031</v>
      </c>
      <c r="S993" s="13" t="s">
        <v>437</v>
      </c>
      <c r="T993" s="13" t="s">
        <v>16</v>
      </c>
      <c r="U993" s="17">
        <f t="shared" si="31"/>
        <v>45183666</v>
      </c>
    </row>
    <row r="994" spans="1:21" x14ac:dyDescent="0.3">
      <c r="A994" s="13">
        <v>92</v>
      </c>
      <c r="B994" s="13" t="str">
        <f>+VLOOKUP(A994,'[1]PA 2023'!$A$8:$E$84,5)</f>
        <v>Mantener a 1.656 personas mayores vulnerables con atencion integral en instituciones especializadas a través de las modalidades centros vida y centros de bienestar en el marco de la Ley 1276 de 2009.</v>
      </c>
      <c r="C994" s="14">
        <v>2020680010040</v>
      </c>
      <c r="D994" s="14" t="str">
        <f>+VLOOKUP(C994,'[1]PA 2023'!$G$8:$H$84,2,FALSE)</f>
        <v>IMPLEMENTACIÓN DE ACCIONES TENDIENTES A MEJORAR LAS CONDICIONES DE LOS ADULTOS MAYORES DEL MUNICIPIO DE BUCARAMANGA</v>
      </c>
      <c r="E994" s="13" t="s">
        <v>2045</v>
      </c>
      <c r="F994" s="15">
        <v>51</v>
      </c>
      <c r="G994" s="22" t="s">
        <v>184</v>
      </c>
      <c r="H994" s="21" t="s">
        <v>1901</v>
      </c>
      <c r="I994" s="13" t="s">
        <v>179</v>
      </c>
      <c r="J994" s="13" t="s">
        <v>2032</v>
      </c>
      <c r="K994" s="16">
        <v>45155</v>
      </c>
      <c r="L994" s="17">
        <v>56480830</v>
      </c>
      <c r="M994" s="17">
        <v>56480830</v>
      </c>
      <c r="N994" s="18">
        <v>22169160</v>
      </c>
      <c r="O994" s="22" t="s">
        <v>1154</v>
      </c>
      <c r="Q994" s="13">
        <v>9874</v>
      </c>
      <c r="R994" s="13" t="s">
        <v>2033</v>
      </c>
      <c r="S994" s="13" t="s">
        <v>182</v>
      </c>
      <c r="T994" s="13" t="s">
        <v>16</v>
      </c>
      <c r="U994" s="17">
        <f t="shared" si="31"/>
        <v>34311670</v>
      </c>
    </row>
    <row r="995" spans="1:21" x14ac:dyDescent="0.3">
      <c r="A995" s="13">
        <v>92</v>
      </c>
      <c r="B995" s="13" t="str">
        <f>+VLOOKUP(A995,'[1]PA 2023'!$A$8:$E$84,5)</f>
        <v>Mantener a 1.656 personas mayores vulnerables con atencion integral en instituciones especializadas a través de las modalidades centros vida y centros de bienestar en el marco de la Ley 1276 de 2009.</v>
      </c>
      <c r="C995" s="14">
        <v>2020680010040</v>
      </c>
      <c r="D995" s="14" t="str">
        <f>+VLOOKUP(C995,'[1]PA 2023'!$G$8:$H$84,2,FALSE)</f>
        <v>IMPLEMENTACIÓN DE ACCIONES TENDIENTES A MEJORAR LAS CONDICIONES DE LOS ADULTOS MAYORES DEL MUNICIPIO DE BUCARAMANGA</v>
      </c>
      <c r="E995" s="13" t="s">
        <v>2046</v>
      </c>
      <c r="F995" s="15">
        <v>55</v>
      </c>
      <c r="G995" s="22" t="s">
        <v>184</v>
      </c>
      <c r="H995" s="21" t="s">
        <v>1901</v>
      </c>
      <c r="I995" s="13" t="s">
        <v>429</v>
      </c>
      <c r="J995" s="13" t="s">
        <v>2030</v>
      </c>
      <c r="K995" s="16">
        <v>45155</v>
      </c>
      <c r="L995" s="17">
        <v>12787830</v>
      </c>
      <c r="M995" s="17">
        <v>12787830</v>
      </c>
      <c r="N995" s="18">
        <v>12012810</v>
      </c>
      <c r="O995" s="22" t="s">
        <v>1156</v>
      </c>
      <c r="Q995" s="13">
        <v>9875</v>
      </c>
      <c r="R995" s="13" t="s">
        <v>2031</v>
      </c>
      <c r="S995" s="13" t="s">
        <v>431</v>
      </c>
      <c r="T995" s="13" t="s">
        <v>16</v>
      </c>
      <c r="U995" s="17">
        <f t="shared" si="31"/>
        <v>775020</v>
      </c>
    </row>
    <row r="996" spans="1:21" x14ac:dyDescent="0.3">
      <c r="A996" s="13">
        <v>92</v>
      </c>
      <c r="B996" s="13" t="str">
        <f>+VLOOKUP(A996,'[1]PA 2023'!$A$8:$E$84,5)</f>
        <v>Mantener a 1.656 personas mayores vulnerables con atencion integral en instituciones especializadas a través de las modalidades centros vida y centros de bienestar en el marco de la Ley 1276 de 2009.</v>
      </c>
      <c r="C996" s="14">
        <v>2020680010040</v>
      </c>
      <c r="D996" s="14" t="str">
        <f>+VLOOKUP(C996,'[1]PA 2023'!$G$8:$H$84,2,FALSE)</f>
        <v>IMPLEMENTACIÓN DE ACCIONES TENDIENTES A MEJORAR LAS CONDICIONES DE LOS ADULTOS MAYORES DEL MUNICIPIO DE BUCARAMANGA</v>
      </c>
      <c r="E996" s="13" t="s">
        <v>2046</v>
      </c>
      <c r="F996" s="15">
        <v>55</v>
      </c>
      <c r="G996" s="22" t="s">
        <v>184</v>
      </c>
      <c r="H996" s="21" t="s">
        <v>1901</v>
      </c>
      <c r="I996" s="13" t="s">
        <v>429</v>
      </c>
      <c r="J996" s="13" t="s">
        <v>2032</v>
      </c>
      <c r="K996" s="16">
        <v>45155</v>
      </c>
      <c r="L996" s="17">
        <v>34106400</v>
      </c>
      <c r="M996" s="17">
        <v>34106400</v>
      </c>
      <c r="N996" s="18">
        <v>10721410</v>
      </c>
      <c r="O996" s="22" t="s">
        <v>1156</v>
      </c>
      <c r="Q996" s="13">
        <v>9876</v>
      </c>
      <c r="R996" s="13" t="s">
        <v>2033</v>
      </c>
      <c r="S996" s="13" t="s">
        <v>431</v>
      </c>
      <c r="T996" s="13" t="s">
        <v>16</v>
      </c>
      <c r="U996" s="17">
        <f t="shared" si="31"/>
        <v>23384990</v>
      </c>
    </row>
    <row r="997" spans="1:21" x14ac:dyDescent="0.3">
      <c r="A997" s="13">
        <v>92</v>
      </c>
      <c r="B997" s="13" t="str">
        <f>+VLOOKUP(A997,'[1]PA 2023'!$A$8:$E$84,5)</f>
        <v>Mantener a 1.656 personas mayores vulnerables con atencion integral en instituciones especializadas a través de las modalidades centros vida y centros de bienestar en el marco de la Ley 1276 de 2009.</v>
      </c>
      <c r="C997" s="14">
        <v>2020680010040</v>
      </c>
      <c r="D997" s="14" t="str">
        <f>+VLOOKUP(C997,'[1]PA 2023'!$G$8:$H$84,2,FALSE)</f>
        <v>IMPLEMENTACIÓN DE ACCIONES TENDIENTES A MEJORAR LAS CONDICIONES DE LOS ADULTOS MAYORES DEL MUNICIPIO DE BUCARAMANGA</v>
      </c>
      <c r="E997" s="13" t="s">
        <v>2047</v>
      </c>
      <c r="F997" s="15">
        <v>42</v>
      </c>
      <c r="G997" s="22" t="s">
        <v>184</v>
      </c>
      <c r="H997" s="21" t="s">
        <v>1901</v>
      </c>
      <c r="I997" s="13" t="s">
        <v>417</v>
      </c>
      <c r="J997" s="13" t="s">
        <v>2030</v>
      </c>
      <c r="K997" s="16">
        <v>45155</v>
      </c>
      <c r="L997" s="17">
        <v>21958900</v>
      </c>
      <c r="M997" s="17">
        <v>21958900</v>
      </c>
      <c r="N997" s="18">
        <v>0</v>
      </c>
      <c r="O997" s="22" t="s">
        <v>1133</v>
      </c>
      <c r="Q997" s="13">
        <v>9885</v>
      </c>
      <c r="R997" s="13" t="s">
        <v>2031</v>
      </c>
      <c r="S997" s="13" t="s">
        <v>419</v>
      </c>
      <c r="T997" s="13" t="s">
        <v>16</v>
      </c>
      <c r="U997" s="17">
        <f t="shared" si="31"/>
        <v>21958900</v>
      </c>
    </row>
    <row r="998" spans="1:21" x14ac:dyDescent="0.3">
      <c r="A998" s="13">
        <v>92</v>
      </c>
      <c r="B998" s="13" t="str">
        <f>+VLOOKUP(A998,'[1]PA 2023'!$A$8:$E$84,5)</f>
        <v>Mantener a 1.656 personas mayores vulnerables con atencion integral en instituciones especializadas a través de las modalidades centros vida y centros de bienestar en el marco de la Ley 1276 de 2009.</v>
      </c>
      <c r="C998" s="14">
        <v>2020680010040</v>
      </c>
      <c r="D998" s="14" t="str">
        <f>+VLOOKUP(C998,'[1]PA 2023'!$G$8:$H$84,2,FALSE)</f>
        <v>IMPLEMENTACIÓN DE ACCIONES TENDIENTES A MEJORAR LAS CONDICIONES DE LOS ADULTOS MAYORES DEL MUNICIPIO DE BUCARAMANGA</v>
      </c>
      <c r="E998" s="13" t="s">
        <v>2047</v>
      </c>
      <c r="F998" s="15">
        <v>42</v>
      </c>
      <c r="G998" s="22" t="s">
        <v>184</v>
      </c>
      <c r="H998" s="21" t="s">
        <v>1901</v>
      </c>
      <c r="I998" s="13" t="s">
        <v>417</v>
      </c>
      <c r="J998" s="13" t="s">
        <v>2032</v>
      </c>
      <c r="K998" s="16">
        <v>45155</v>
      </c>
      <c r="L998" s="17">
        <v>40343450</v>
      </c>
      <c r="M998" s="17">
        <v>40343450</v>
      </c>
      <c r="N998" s="18">
        <v>0</v>
      </c>
      <c r="O998" s="22" t="s">
        <v>1133</v>
      </c>
      <c r="Q998" s="13">
        <v>9886</v>
      </c>
      <c r="R998" s="13" t="s">
        <v>2033</v>
      </c>
      <c r="S998" s="13" t="s">
        <v>419</v>
      </c>
      <c r="T998" s="13" t="s">
        <v>16</v>
      </c>
      <c r="U998" s="17">
        <f t="shared" si="31"/>
        <v>40343450</v>
      </c>
    </row>
    <row r="999" spans="1:21" x14ac:dyDescent="0.3">
      <c r="A999" s="13">
        <v>92</v>
      </c>
      <c r="B999" s="13" t="str">
        <f>+VLOOKUP(A999,'[1]PA 2023'!$A$8:$E$84,5)</f>
        <v>Mantener a 1.656 personas mayores vulnerables con atencion integral en instituciones especializadas a través de las modalidades centros vida y centros de bienestar en el marco de la Ley 1276 de 2009.</v>
      </c>
      <c r="C999" s="14">
        <v>2020680010040</v>
      </c>
      <c r="D999" s="14" t="str">
        <f>+VLOOKUP(C999,'[1]PA 2023'!$G$8:$H$84,2,FALSE)</f>
        <v>IMPLEMENTACIÓN DE ACCIONES TENDIENTES A MEJORAR LAS CONDICIONES DE LOS ADULTOS MAYORES DEL MUNICIPIO DE BUCARAMANGA</v>
      </c>
      <c r="E999" s="13" t="s">
        <v>2048</v>
      </c>
      <c r="F999" s="15">
        <v>54</v>
      </c>
      <c r="G999" s="22" t="s">
        <v>184</v>
      </c>
      <c r="H999" s="21" t="s">
        <v>1901</v>
      </c>
      <c r="I999" s="13" t="s">
        <v>479</v>
      </c>
      <c r="J999" s="13" t="s">
        <v>2030</v>
      </c>
      <c r="K999" s="16">
        <v>45155</v>
      </c>
      <c r="L999" s="17">
        <v>25575660</v>
      </c>
      <c r="M999" s="17">
        <v>25575660</v>
      </c>
      <c r="N999" s="18">
        <v>0</v>
      </c>
      <c r="O999" s="22" t="s">
        <v>1159</v>
      </c>
      <c r="Q999" s="13">
        <v>9887</v>
      </c>
      <c r="R999" s="13" t="s">
        <v>2031</v>
      </c>
      <c r="S999" s="13" t="s">
        <v>481</v>
      </c>
      <c r="T999" s="13" t="s">
        <v>16</v>
      </c>
      <c r="U999" s="17">
        <f t="shared" si="31"/>
        <v>25575660</v>
      </c>
    </row>
    <row r="1000" spans="1:21" x14ac:dyDescent="0.3">
      <c r="A1000" s="13">
        <v>92</v>
      </c>
      <c r="B1000" s="13" t="str">
        <f>+VLOOKUP(A1000,'[1]PA 2023'!$A$8:$E$84,5)</f>
        <v>Mantener a 1.656 personas mayores vulnerables con atencion integral en instituciones especializadas a través de las modalidades centros vida y centros de bienestar en el marco de la Ley 1276 de 2009.</v>
      </c>
      <c r="C1000" s="14">
        <v>2020680010040</v>
      </c>
      <c r="D1000" s="14" t="str">
        <f>+VLOOKUP(C1000,'[1]PA 2023'!$G$8:$H$84,2,FALSE)</f>
        <v>IMPLEMENTACIÓN DE ACCIONES TENDIENTES A MEJORAR LAS CONDICIONES DE LOS ADULTOS MAYORES DEL MUNICIPIO DE BUCARAMANGA</v>
      </c>
      <c r="E1000" s="13" t="s">
        <v>2048</v>
      </c>
      <c r="F1000" s="15">
        <v>54</v>
      </c>
      <c r="G1000" s="22" t="s">
        <v>184</v>
      </c>
      <c r="H1000" s="21" t="s">
        <v>1901</v>
      </c>
      <c r="I1000" s="13" t="s">
        <v>479</v>
      </c>
      <c r="J1000" s="13" t="s">
        <v>2032</v>
      </c>
      <c r="K1000" s="16">
        <v>45155</v>
      </c>
      <c r="L1000" s="17">
        <v>110656320</v>
      </c>
      <c r="M1000" s="17">
        <v>110656320</v>
      </c>
      <c r="N1000" s="18">
        <v>45854160</v>
      </c>
      <c r="O1000" s="22" t="s">
        <v>1159</v>
      </c>
      <c r="Q1000" s="13">
        <v>9900</v>
      </c>
      <c r="R1000" s="13" t="s">
        <v>2033</v>
      </c>
      <c r="S1000" s="13" t="s">
        <v>481</v>
      </c>
      <c r="T1000" s="13" t="s">
        <v>16</v>
      </c>
      <c r="U1000" s="17">
        <f t="shared" si="31"/>
        <v>64802160</v>
      </c>
    </row>
    <row r="1001" spans="1:21" x14ac:dyDescent="0.3">
      <c r="A1001" s="13">
        <v>67</v>
      </c>
      <c r="B1001" s="13" t="str">
        <f>+VLOOKUP(A1001,'[1]PA 2023'!$A$8:$E$84,5)</f>
        <v>Formular e implementar 1 estrategia para el fortalecimiento de padres/madres y/o cuidadores en pautas de crianza y vínculos afectivos tanto en el ámbito familiar como comunitario que permita disminuir las violencias en primera infancia.</v>
      </c>
      <c r="C1001" s="14">
        <v>2021680010003</v>
      </c>
      <c r="D1001" s="14" t="str">
        <f>+VLOOKUP(C1001,'[1]PA 2023'!$G$8:$H$84,2,FALSE)</f>
        <v>IMPLEMENTACIÓN DE ESTRATEGIAS PSICOPEDAGÓGICAS PARA LA DISMINUCIÓN DE FACTORES DE RIESGO EN NIÑOS, NIÑAS Y ADOLESCENTES EN EL MUNICIPIO DE BUCARAMANGA</v>
      </c>
      <c r="E1001" s="13" t="s">
        <v>2049</v>
      </c>
      <c r="F1001" s="15">
        <v>127</v>
      </c>
      <c r="G1001" s="22" t="s">
        <v>1925</v>
      </c>
      <c r="H1001" s="21" t="s">
        <v>1187</v>
      </c>
      <c r="I1001" s="13" t="s">
        <v>1181</v>
      </c>
      <c r="J1001" s="13" t="s">
        <v>1472</v>
      </c>
      <c r="K1001" s="16">
        <v>45155</v>
      </c>
      <c r="L1001" s="17">
        <v>15245936</v>
      </c>
      <c r="M1001" s="17">
        <v>15245936</v>
      </c>
      <c r="N1001" s="18">
        <v>0</v>
      </c>
      <c r="O1001" s="22" t="s">
        <v>1473</v>
      </c>
      <c r="Q1001" s="13">
        <v>9923</v>
      </c>
      <c r="R1001" s="23" t="s">
        <v>164</v>
      </c>
      <c r="S1001" s="13" t="s">
        <v>1184</v>
      </c>
      <c r="T1001" s="13" t="s">
        <v>16</v>
      </c>
      <c r="U1001" s="17">
        <f t="shared" si="31"/>
        <v>15245936</v>
      </c>
    </row>
    <row r="1002" spans="1:21" x14ac:dyDescent="0.3">
      <c r="A1002" s="13">
        <v>283</v>
      </c>
      <c r="B1002" s="13" t="str">
        <f>+VLOOKUP(A1002,'[1]PA 2023'!$A$8:$E$84,5)</f>
        <v>Formular e implementar 1 estrategia que fortalezca la democracia participativa (Ley 1757 de 2015).</v>
      </c>
      <c r="C1002" s="14">
        <v>2022680010029</v>
      </c>
      <c r="D1002" s="14" t="str">
        <f>+VLOOKUP(C1002,'[1]PA 2023'!$G$8:$H$84,2,FALSE)</f>
        <v>FORTALECIMIENTO DE LA PARTICIPACIÓN CIUDADANA EN EL MUNICIPIO DE BUCARAMANGA</v>
      </c>
      <c r="E1002" s="13" t="s">
        <v>2049</v>
      </c>
      <c r="F1002" s="15">
        <v>127</v>
      </c>
      <c r="G1002" s="22" t="s">
        <v>1925</v>
      </c>
      <c r="H1002" s="21" t="s">
        <v>1187</v>
      </c>
      <c r="I1002" s="13" t="s">
        <v>1181</v>
      </c>
      <c r="J1002" s="13" t="s">
        <v>1475</v>
      </c>
      <c r="K1002" s="16">
        <v>45155</v>
      </c>
      <c r="L1002" s="17">
        <v>1318800</v>
      </c>
      <c r="M1002" s="17">
        <v>1318800</v>
      </c>
      <c r="N1002" s="18">
        <v>0</v>
      </c>
      <c r="O1002" s="22" t="s">
        <v>1473</v>
      </c>
      <c r="Q1002" s="13">
        <v>9923</v>
      </c>
      <c r="R1002" s="23" t="s">
        <v>1476</v>
      </c>
      <c r="S1002" s="13" t="s">
        <v>1184</v>
      </c>
      <c r="T1002" s="13" t="s">
        <v>16</v>
      </c>
      <c r="U1002" s="17">
        <f t="shared" si="31"/>
        <v>1318800</v>
      </c>
    </row>
    <row r="1003" spans="1:21" x14ac:dyDescent="0.3">
      <c r="A1003" s="13">
        <v>202</v>
      </c>
      <c r="B1003" s="13" t="str">
        <f>+VLOOKUP(A1003,'[1]PA 2023'!$A$8:$E$84,5)</f>
        <v>Instalar 200 sistemas de riego por goteo en la zona rural.</v>
      </c>
      <c r="C1003" s="14">
        <v>2020680010123</v>
      </c>
      <c r="D1003" s="14" t="str">
        <f>+VLOOKUP(C1003,'[1]PA 2023'!$G$8:$H$84,2,FALSE)</f>
        <v>FORTALECIMIENTO DE LA PRODUCTIVIDAD Y COMPETITIVIDAD AGROPECUARIA EN EL SECTOR RURAL DEL MUNICIPIO DE BUCARAMANGA</v>
      </c>
      <c r="E1003" s="13" t="s">
        <v>2050</v>
      </c>
      <c r="F1003" s="15">
        <v>152</v>
      </c>
      <c r="G1003" s="22" t="s">
        <v>1925</v>
      </c>
      <c r="H1003" s="21" t="s">
        <v>1187</v>
      </c>
      <c r="I1003" s="13" t="s">
        <v>1747</v>
      </c>
      <c r="J1003" s="13" t="s">
        <v>1748</v>
      </c>
      <c r="K1003" s="16">
        <v>45155</v>
      </c>
      <c r="L1003" s="17">
        <v>35000000</v>
      </c>
      <c r="M1003" s="17">
        <v>35000000</v>
      </c>
      <c r="N1003" s="18">
        <v>34999989.640000001</v>
      </c>
      <c r="O1003" s="22" t="s">
        <v>1749</v>
      </c>
      <c r="Q1003" s="13">
        <v>9924</v>
      </c>
      <c r="R1003" s="13" t="s">
        <v>1750</v>
      </c>
      <c r="S1003" s="13" t="s">
        <v>1751</v>
      </c>
      <c r="T1003" s="13" t="s">
        <v>16</v>
      </c>
      <c r="U1003" s="17">
        <f t="shared" si="31"/>
        <v>10.359999999403954</v>
      </c>
    </row>
    <row r="1004" spans="1:21" x14ac:dyDescent="0.3">
      <c r="A1004" s="13">
        <v>71</v>
      </c>
      <c r="B1004" s="13" t="str">
        <f>+VLOOKUP(A1004,'[1]PA 2023'!$A$8:$E$84,5)</f>
        <v>Formular e implementar 1 estrategia de corresponsabilidad en la garantía de derechos, la prevención de vulneración, amenaza o riesgo en el ámbito familiar, comunitario e institucional.</v>
      </c>
      <c r="C1004" s="14">
        <v>2022680010056</v>
      </c>
      <c r="D1004" s="14" t="str">
        <f>+VLOOKUP(C1004,'[1]PA 2023'!$G$8:$H$84,2,FALSE)</f>
        <v>APOYO EN LOS PROCESOS DE ATENCIÓN INTEGRAL DE LOS NIÑOS Y NIÑAS EN EL ESPACIO DE CUIDADO Y ALBERGUE "CASA BÚHO" EN EL MUNICIPIO DE BUCARAMANGA</v>
      </c>
      <c r="E1004" s="13" t="s">
        <v>449</v>
      </c>
      <c r="F1004" s="15">
        <v>2511</v>
      </c>
      <c r="G1004" s="22" t="s">
        <v>1960</v>
      </c>
      <c r="H1004" s="21" t="s">
        <v>36</v>
      </c>
      <c r="I1004" s="13" t="s">
        <v>450</v>
      </c>
      <c r="J1004" s="13" t="s">
        <v>1531</v>
      </c>
      <c r="K1004" s="16">
        <v>45161</v>
      </c>
      <c r="L1004" s="17">
        <v>-6966666.6699999999</v>
      </c>
      <c r="M1004" s="17">
        <v>-6966666.6699999999</v>
      </c>
      <c r="N1004" s="18">
        <v>0</v>
      </c>
      <c r="O1004" s="22" t="s">
        <v>1551</v>
      </c>
      <c r="Q1004" s="13">
        <v>6783</v>
      </c>
      <c r="R1004" s="23" t="s">
        <v>1533</v>
      </c>
      <c r="S1004" s="13" t="s">
        <v>452</v>
      </c>
      <c r="T1004" s="13" t="s">
        <v>16</v>
      </c>
      <c r="U1004" s="26">
        <v>0</v>
      </c>
    </row>
    <row r="1005" spans="1:21" x14ac:dyDescent="0.3">
      <c r="A1005" s="13">
        <v>112</v>
      </c>
      <c r="B1005" s="13" t="str">
        <f>+VLOOKUP(A1005,'[1]PA 2023'!$A$8:$E$84,5)</f>
        <v>Mantener a 284 habitantes de calle con atención integral en la cual se incluya la prestación de servicios básicos.</v>
      </c>
      <c r="C1005" s="14">
        <v>2020680010050</v>
      </c>
      <c r="D1005" s="14" t="str">
        <f>+VLOOKUP(C1005,'[1]PA 2023'!$G$8:$H$84,2,FALSE)</f>
        <v>DESARROLLO DE ACCIONES ENCAMINADAS A GENERAR ATENCIÓN INTEGRAL HACIA LA POBLACIÓN HABITANTES EN SITUACIÓN DE CALLE DEL MUNICIPIO DE BUCARAMANGA</v>
      </c>
      <c r="E1005" s="13" t="s">
        <v>2051</v>
      </c>
      <c r="F1005" s="15">
        <v>96</v>
      </c>
      <c r="G1005" s="22" t="s">
        <v>1949</v>
      </c>
      <c r="H1005" s="21" t="s">
        <v>1901</v>
      </c>
      <c r="I1005" s="13" t="s">
        <v>435</v>
      </c>
      <c r="J1005" s="13" t="s">
        <v>1902</v>
      </c>
      <c r="K1005" s="16">
        <v>45161</v>
      </c>
      <c r="L1005" s="17">
        <v>24896776.18</v>
      </c>
      <c r="M1005" s="17">
        <v>24896776.18</v>
      </c>
      <c r="N1005" s="18">
        <v>0</v>
      </c>
      <c r="O1005" s="22" t="s">
        <v>1305</v>
      </c>
      <c r="Q1005" s="13">
        <v>10118</v>
      </c>
      <c r="R1005" s="23" t="s">
        <v>1903</v>
      </c>
      <c r="S1005" s="13" t="s">
        <v>437</v>
      </c>
      <c r="T1005" s="13" t="s">
        <v>16</v>
      </c>
      <c r="U1005" s="17">
        <f t="shared" ref="U1005:U1016" si="32">+M1005-N1005</f>
        <v>24896776.18</v>
      </c>
    </row>
    <row r="1006" spans="1:21" x14ac:dyDescent="0.3">
      <c r="A1006" s="13">
        <v>112</v>
      </c>
      <c r="B1006" s="13" t="str">
        <f>+VLOOKUP(A1006,'[1]PA 2023'!$A$8:$E$84,5)</f>
        <v>Mantener a 284 habitantes de calle con atención integral en la cual se incluya la prestación de servicios básicos.</v>
      </c>
      <c r="C1006" s="14">
        <v>2020680010050</v>
      </c>
      <c r="D1006" s="14" t="str">
        <f>+VLOOKUP(C1006,'[1]PA 2023'!$G$8:$H$84,2,FALSE)</f>
        <v>DESARROLLO DE ACCIONES ENCAMINADAS A GENERAR ATENCIÓN INTEGRAL HACIA LA POBLACIÓN HABITANTES EN SITUACIÓN DE CALLE DEL MUNICIPIO DE BUCARAMANGA</v>
      </c>
      <c r="E1006" s="13" t="s">
        <v>2051</v>
      </c>
      <c r="F1006" s="15">
        <v>96</v>
      </c>
      <c r="G1006" s="22" t="s">
        <v>1949</v>
      </c>
      <c r="H1006" s="21" t="s">
        <v>1901</v>
      </c>
      <c r="I1006" s="13" t="s">
        <v>435</v>
      </c>
      <c r="J1006" s="13" t="s">
        <v>180</v>
      </c>
      <c r="K1006" s="16">
        <v>45161</v>
      </c>
      <c r="L1006" s="17">
        <v>201995847</v>
      </c>
      <c r="M1006" s="17">
        <v>201995847</v>
      </c>
      <c r="N1006" s="18">
        <v>0</v>
      </c>
      <c r="O1006" s="22" t="s">
        <v>1305</v>
      </c>
      <c r="Q1006" s="13">
        <v>10118</v>
      </c>
      <c r="R1006" s="23" t="s">
        <v>161</v>
      </c>
      <c r="S1006" s="13" t="s">
        <v>437</v>
      </c>
      <c r="T1006" s="13" t="s">
        <v>16</v>
      </c>
      <c r="U1006" s="17">
        <f t="shared" si="32"/>
        <v>201995847</v>
      </c>
    </row>
    <row r="1007" spans="1:21" x14ac:dyDescent="0.3">
      <c r="A1007" s="13">
        <v>71</v>
      </c>
      <c r="B1007" s="13" t="str">
        <f>+VLOOKUP(A1007,'[1]PA 2023'!$A$8:$E$84,5)</f>
        <v>Formular e implementar 1 estrategia de corresponsabilidad en la garantía de derechos, la prevención de vulneración, amenaza o riesgo en el ámbito familiar, comunitario e institucional.</v>
      </c>
      <c r="C1007" s="14">
        <v>2021680010003</v>
      </c>
      <c r="D1007" s="14" t="str">
        <f>+VLOOKUP(C1007,'[1]PA 2023'!$G$8:$H$84,2,FALSE)</f>
        <v>IMPLEMENTACIÓN DE ESTRATEGIAS PSICOPEDAGÓGICAS PARA LA DISMINUCIÓN DE FACTORES DE RIESGO EN NIÑOS, NIÑAS Y ADOLESCENTES EN EL MUNICIPIO DE BUCARAMANGA</v>
      </c>
      <c r="E1007" s="13" t="s">
        <v>2052</v>
      </c>
      <c r="F1007" s="15">
        <v>3441</v>
      </c>
      <c r="G1007" s="21" t="s">
        <v>43</v>
      </c>
      <c r="H1007" s="21" t="s">
        <v>36</v>
      </c>
      <c r="I1007" s="13" t="s">
        <v>2053</v>
      </c>
      <c r="J1007" s="13" t="s">
        <v>1578</v>
      </c>
      <c r="K1007" s="16">
        <v>45163</v>
      </c>
      <c r="L1007" s="17">
        <v>4653494</v>
      </c>
      <c r="M1007" s="17">
        <v>4653494</v>
      </c>
      <c r="N1007" s="18">
        <v>0</v>
      </c>
      <c r="O1007" s="22" t="s">
        <v>2054</v>
      </c>
      <c r="Q1007" s="13">
        <v>10538</v>
      </c>
      <c r="R1007" s="23" t="s">
        <v>1580</v>
      </c>
      <c r="S1007" s="13" t="s">
        <v>2055</v>
      </c>
      <c r="T1007" s="13" t="s">
        <v>16</v>
      </c>
      <c r="U1007" s="17">
        <f t="shared" si="32"/>
        <v>4653494</v>
      </c>
    </row>
    <row r="1008" spans="1:21" x14ac:dyDescent="0.3">
      <c r="A1008" s="13">
        <v>71</v>
      </c>
      <c r="B1008" s="13" t="str">
        <f>+VLOOKUP(A1008,'[1]PA 2023'!$A$8:$E$84,5)</f>
        <v>Formular e implementar 1 estrategia de corresponsabilidad en la garantía de derechos, la prevención de vulneración, amenaza o riesgo en el ámbito familiar, comunitario e institucional.</v>
      </c>
      <c r="C1008" s="14">
        <v>2022680010056</v>
      </c>
      <c r="D1008" s="14" t="str">
        <f>+VLOOKUP(C1008,'[1]PA 2023'!$G$8:$H$84,2,FALSE)</f>
        <v>APOYO EN LOS PROCESOS DE ATENCIÓN INTEGRAL DE LOS NIÑOS Y NIÑAS EN EL ESPACIO DE CUIDADO Y ALBERGUE "CASA BÚHO" EN EL MUNICIPIO DE BUCARAMANGA</v>
      </c>
      <c r="E1008" s="13" t="s">
        <v>2052</v>
      </c>
      <c r="F1008" s="15">
        <v>3441</v>
      </c>
      <c r="G1008" s="21" t="s">
        <v>43</v>
      </c>
      <c r="H1008" s="21" t="s">
        <v>36</v>
      </c>
      <c r="I1008" s="13" t="s">
        <v>2053</v>
      </c>
      <c r="J1008" s="13" t="s">
        <v>168</v>
      </c>
      <c r="K1008" s="16">
        <v>45163</v>
      </c>
      <c r="L1008" s="17">
        <v>4513172.66</v>
      </c>
      <c r="M1008" s="17">
        <v>4513172.66</v>
      </c>
      <c r="N1008" s="18">
        <v>500000</v>
      </c>
      <c r="O1008" s="22" t="s">
        <v>2054</v>
      </c>
      <c r="Q1008" s="13">
        <v>10538</v>
      </c>
      <c r="R1008" s="23" t="s">
        <v>170</v>
      </c>
      <c r="S1008" s="13" t="s">
        <v>2055</v>
      </c>
      <c r="T1008" s="13" t="s">
        <v>16</v>
      </c>
      <c r="U1008" s="17">
        <f t="shared" si="32"/>
        <v>4013172.66</v>
      </c>
    </row>
    <row r="1009" spans="1:21" x14ac:dyDescent="0.3">
      <c r="A1009" s="13">
        <v>204</v>
      </c>
      <c r="B1009" s="13" t="str">
        <f>+VLOOKUP(A1009,'[1]PA 2023'!$A$8:$E$84,5)</f>
        <v>Realizar 12 proyectos productivos agrícolas o pecuarios.</v>
      </c>
      <c r="C1009" s="14">
        <v>2020680010123</v>
      </c>
      <c r="D1009" s="14" t="str">
        <f>+VLOOKUP(C1009,'[1]PA 2023'!$G$8:$H$84,2,FALSE)</f>
        <v>FORTALECIMIENTO DE LA PRODUCTIVIDAD Y COMPETITIVIDAD AGROPECUARIA EN EL SECTOR RURAL DEL MUNICIPIO DE BUCARAMANGA</v>
      </c>
      <c r="E1009" s="13" t="s">
        <v>2056</v>
      </c>
      <c r="F1009" s="15">
        <v>214</v>
      </c>
      <c r="G1009" s="22" t="s">
        <v>1165</v>
      </c>
      <c r="H1009" s="21" t="s">
        <v>1165</v>
      </c>
      <c r="I1009" s="13" t="s">
        <v>1373</v>
      </c>
      <c r="J1009" s="13" t="s">
        <v>2057</v>
      </c>
      <c r="K1009" s="16">
        <v>45163</v>
      </c>
      <c r="L1009" s="17">
        <v>84000000</v>
      </c>
      <c r="M1009" s="17">
        <v>84000000</v>
      </c>
      <c r="N1009" s="18">
        <v>0</v>
      </c>
      <c r="O1009" s="22" t="s">
        <v>2058</v>
      </c>
      <c r="Q1009" s="13">
        <v>10539</v>
      </c>
      <c r="R1009" s="13" t="s">
        <v>2059</v>
      </c>
      <c r="S1009" s="13" t="s">
        <v>1375</v>
      </c>
      <c r="T1009" s="13" t="s">
        <v>16</v>
      </c>
      <c r="U1009" s="17">
        <f t="shared" si="32"/>
        <v>84000000</v>
      </c>
    </row>
    <row r="1010" spans="1:21" x14ac:dyDescent="0.3">
      <c r="A1010" s="13">
        <v>93</v>
      </c>
      <c r="B1010" s="13" t="str">
        <f>+VLOOKUP(A1010,'[1]PA 2023'!$A$8:$E$84,5)</f>
        <v>Mantener en funcionamiento los 3 Centros Vida con la prestacion de servicios integrales y/o dotacion de los mismos cumpliendo con la oferta institucional.</v>
      </c>
      <c r="C1010" s="14">
        <v>2020680010040</v>
      </c>
      <c r="D1010" s="14" t="str">
        <f>+VLOOKUP(C1010,'[1]PA 2023'!$G$8:$H$84,2,FALSE)</f>
        <v>IMPLEMENTACIÓN DE ACCIONES TENDIENTES A MEJORAR LAS CONDICIONES DE LOS ADULTOS MAYORES DEL MUNICIPIO DE BUCARAMANGA</v>
      </c>
      <c r="E1010" s="13" t="s">
        <v>2060</v>
      </c>
      <c r="F1010" s="15" t="s">
        <v>22</v>
      </c>
      <c r="G1010" s="22" t="s">
        <v>23</v>
      </c>
      <c r="H1010" s="21" t="s">
        <v>23</v>
      </c>
      <c r="I1010" s="13" t="s">
        <v>24</v>
      </c>
      <c r="J1010" s="13" t="s">
        <v>25</v>
      </c>
      <c r="K1010" s="16">
        <v>45163</v>
      </c>
      <c r="L1010" s="17">
        <v>917200</v>
      </c>
      <c r="M1010" s="17">
        <v>917200</v>
      </c>
      <c r="N1010" s="18">
        <v>917200</v>
      </c>
      <c r="O1010" s="15" t="s">
        <v>23</v>
      </c>
      <c r="Q1010" s="13">
        <v>10550</v>
      </c>
      <c r="R1010" s="13" t="s">
        <v>26</v>
      </c>
      <c r="S1010" s="13" t="s">
        <v>27</v>
      </c>
      <c r="T1010" s="13" t="s">
        <v>16</v>
      </c>
      <c r="U1010" s="17">
        <f t="shared" si="32"/>
        <v>0</v>
      </c>
    </row>
    <row r="1011" spans="1:21" x14ac:dyDescent="0.3">
      <c r="A1011" s="13">
        <v>71</v>
      </c>
      <c r="B1011" s="13" t="str">
        <f>+VLOOKUP(A1011,'[1]PA 2023'!$A$8:$E$84,5)</f>
        <v>Formular e implementar 1 estrategia de corresponsabilidad en la garantía de derechos, la prevención de vulneración, amenaza o riesgo en el ámbito familiar, comunitario e institucional.</v>
      </c>
      <c r="C1011" s="14">
        <v>2022680010056</v>
      </c>
      <c r="D1011" s="14" t="str">
        <f>+VLOOKUP(C1011,'[1]PA 2023'!$G$8:$H$84,2,FALSE)</f>
        <v>APOYO EN LOS PROCESOS DE ATENCIÓN INTEGRAL DE LOS NIÑOS Y NIÑAS EN EL ESPACIO DE CUIDADO Y ALBERGUE "CASA BÚHO" EN EL MUNICIPIO DE BUCARAMANGA</v>
      </c>
      <c r="E1011" s="13" t="s">
        <v>2061</v>
      </c>
      <c r="F1011" s="15" t="s">
        <v>22</v>
      </c>
      <c r="G1011" s="22" t="s">
        <v>23</v>
      </c>
      <c r="H1011" s="21" t="s">
        <v>23</v>
      </c>
      <c r="I1011" s="13" t="s">
        <v>24</v>
      </c>
      <c r="J1011" s="13" t="s">
        <v>970</v>
      </c>
      <c r="K1011" s="16">
        <v>45163</v>
      </c>
      <c r="L1011" s="17">
        <v>292430</v>
      </c>
      <c r="M1011" s="17">
        <v>292430</v>
      </c>
      <c r="N1011" s="18">
        <v>292430</v>
      </c>
      <c r="O1011" s="15" t="s">
        <v>23</v>
      </c>
      <c r="Q1011" s="13">
        <v>10551</v>
      </c>
      <c r="R1011" s="13" t="s">
        <v>170</v>
      </c>
      <c r="S1011" s="13" t="s">
        <v>27</v>
      </c>
      <c r="T1011" s="13" t="s">
        <v>16</v>
      </c>
      <c r="U1011" s="17">
        <f t="shared" si="32"/>
        <v>0</v>
      </c>
    </row>
    <row r="1012" spans="1:21" x14ac:dyDescent="0.3">
      <c r="A1012" s="13">
        <v>285</v>
      </c>
      <c r="B1012" s="13" t="str">
        <f>+VLOOKUP(A1012,'[1]PA 2023'!$A$8:$E$84,5)</f>
        <v>Mantener en funcionamiento el 100% de los salones comunales que hacen parte del programa Ágoras.</v>
      </c>
      <c r="C1012" s="14">
        <v>2022680010029</v>
      </c>
      <c r="D1012" s="14" t="str">
        <f>+VLOOKUP(C1012,'[1]PA 2023'!$G$8:$H$84,2,FALSE)</f>
        <v>FORTALECIMIENTO DE LA PARTICIPACIÓN CIUDADANA EN EL MUNICIPIO DE BUCARAMANGA</v>
      </c>
      <c r="E1012" s="13" t="s">
        <v>2062</v>
      </c>
      <c r="F1012" s="15" t="s">
        <v>22</v>
      </c>
      <c r="G1012" s="22" t="s">
        <v>23</v>
      </c>
      <c r="H1012" s="21" t="s">
        <v>23</v>
      </c>
      <c r="I1012" s="13" t="s">
        <v>24</v>
      </c>
      <c r="J1012" s="13" t="s">
        <v>1130</v>
      </c>
      <c r="K1012" s="16">
        <v>45163</v>
      </c>
      <c r="L1012" s="17">
        <v>171350</v>
      </c>
      <c r="M1012" s="17">
        <v>171350</v>
      </c>
      <c r="N1012" s="18">
        <v>171350</v>
      </c>
      <c r="O1012" s="15" t="s">
        <v>23</v>
      </c>
      <c r="Q1012" s="13">
        <v>10552</v>
      </c>
      <c r="R1012" s="13" t="s">
        <v>134</v>
      </c>
      <c r="S1012" s="13" t="s">
        <v>27</v>
      </c>
      <c r="T1012" s="13" t="s">
        <v>16</v>
      </c>
      <c r="U1012" s="17">
        <f t="shared" si="32"/>
        <v>0</v>
      </c>
    </row>
    <row r="1013" spans="1:21" x14ac:dyDescent="0.3">
      <c r="A1013" s="13">
        <v>285</v>
      </c>
      <c r="B1013" s="13" t="str">
        <f>+VLOOKUP(A1013,'[1]PA 2023'!$A$8:$E$84,5)</f>
        <v>Mantener en funcionamiento el 100% de los salones comunales que hacen parte del programa Ágoras.</v>
      </c>
      <c r="C1013" s="14">
        <v>2022680010029</v>
      </c>
      <c r="D1013" s="14" t="str">
        <f>+VLOOKUP(C1013,'[1]PA 2023'!$G$8:$H$84,2,FALSE)</f>
        <v>FORTALECIMIENTO DE LA PARTICIPACIÓN CIUDADANA EN EL MUNICIPIO DE BUCARAMANGA</v>
      </c>
      <c r="E1013" s="13" t="s">
        <v>2063</v>
      </c>
      <c r="F1013" s="15" t="s">
        <v>22</v>
      </c>
      <c r="G1013" s="22" t="s">
        <v>23</v>
      </c>
      <c r="H1013" s="21" t="s">
        <v>23</v>
      </c>
      <c r="I1013" s="13" t="s">
        <v>904</v>
      </c>
      <c r="J1013" s="13" t="s">
        <v>1130</v>
      </c>
      <c r="K1013" s="16">
        <v>45166</v>
      </c>
      <c r="L1013" s="17">
        <v>549994</v>
      </c>
      <c r="M1013" s="17">
        <v>549994</v>
      </c>
      <c r="N1013" s="18">
        <v>549994</v>
      </c>
      <c r="O1013" s="15" t="s">
        <v>23</v>
      </c>
      <c r="Q1013" s="13">
        <v>10641</v>
      </c>
      <c r="R1013" s="13" t="s">
        <v>134</v>
      </c>
      <c r="S1013" s="13" t="s">
        <v>905</v>
      </c>
      <c r="T1013" s="13" t="s">
        <v>16</v>
      </c>
      <c r="U1013" s="17">
        <f t="shared" si="32"/>
        <v>0</v>
      </c>
    </row>
    <row r="1014" spans="1:21" x14ac:dyDescent="0.3">
      <c r="A1014" s="13">
        <v>285</v>
      </c>
      <c r="B1014" s="13" t="str">
        <f>+VLOOKUP(A1014,'[1]PA 2023'!$A$8:$E$84,5)</f>
        <v>Mantener en funcionamiento el 100% de los salones comunales que hacen parte del programa Ágoras.</v>
      </c>
      <c r="C1014" s="14">
        <v>2022680010029</v>
      </c>
      <c r="D1014" s="14" t="str">
        <f>+VLOOKUP(C1014,'[1]PA 2023'!$G$8:$H$84,2,FALSE)</f>
        <v>FORTALECIMIENTO DE LA PARTICIPACIÓN CIUDADANA EN EL MUNICIPIO DE BUCARAMANGA</v>
      </c>
      <c r="E1014" s="13" t="s">
        <v>2064</v>
      </c>
      <c r="F1014" s="15" t="s">
        <v>22</v>
      </c>
      <c r="G1014" s="22" t="s">
        <v>23</v>
      </c>
      <c r="H1014" s="21" t="s">
        <v>23</v>
      </c>
      <c r="I1014" s="13" t="s">
        <v>260</v>
      </c>
      <c r="J1014" s="13" t="s">
        <v>1130</v>
      </c>
      <c r="K1014" s="16">
        <v>45166</v>
      </c>
      <c r="L1014" s="17">
        <v>172476</v>
      </c>
      <c r="M1014" s="17">
        <v>172476</v>
      </c>
      <c r="N1014" s="18">
        <v>172476</v>
      </c>
      <c r="O1014" s="15" t="s">
        <v>23</v>
      </c>
      <c r="Q1014" s="13">
        <v>10642</v>
      </c>
      <c r="R1014" s="13" t="s">
        <v>134</v>
      </c>
      <c r="S1014" s="13" t="s">
        <v>261</v>
      </c>
      <c r="T1014" s="13" t="s">
        <v>16</v>
      </c>
      <c r="U1014" s="17">
        <f t="shared" si="32"/>
        <v>0</v>
      </c>
    </row>
    <row r="1015" spans="1:21" x14ac:dyDescent="0.3">
      <c r="A1015" s="13">
        <v>93</v>
      </c>
      <c r="B1015" s="13" t="str">
        <f>+VLOOKUP(A1015,'[1]PA 2023'!$A$8:$E$84,5)</f>
        <v>Mantener en funcionamiento los 3 Centros Vida con la prestacion de servicios integrales y/o dotacion de los mismos cumpliendo con la oferta institucional.</v>
      </c>
      <c r="C1015" s="14">
        <v>2020680010040</v>
      </c>
      <c r="D1015" s="14" t="str">
        <f>+VLOOKUP(C1015,'[1]PA 2023'!$G$8:$H$84,2,FALSE)</f>
        <v>IMPLEMENTACIÓN DE ACCIONES TENDIENTES A MEJORAR LAS CONDICIONES DE LOS ADULTOS MAYORES DEL MUNICIPIO DE BUCARAMANGA</v>
      </c>
      <c r="E1015" s="13" t="s">
        <v>2065</v>
      </c>
      <c r="F1015" s="15" t="s">
        <v>22</v>
      </c>
      <c r="G1015" s="22" t="s">
        <v>23</v>
      </c>
      <c r="H1015" s="21" t="s">
        <v>23</v>
      </c>
      <c r="I1015" s="13" t="s">
        <v>260</v>
      </c>
      <c r="J1015" s="13" t="s">
        <v>25</v>
      </c>
      <c r="K1015" s="16">
        <v>45166</v>
      </c>
      <c r="L1015" s="17">
        <v>3051755</v>
      </c>
      <c r="M1015" s="17">
        <v>3051755</v>
      </c>
      <c r="N1015" s="18">
        <v>3051755</v>
      </c>
      <c r="O1015" s="15" t="s">
        <v>23</v>
      </c>
      <c r="Q1015" s="13">
        <v>10643</v>
      </c>
      <c r="R1015" s="13" t="s">
        <v>26</v>
      </c>
      <c r="S1015" s="13" t="s">
        <v>261</v>
      </c>
      <c r="T1015" s="13" t="s">
        <v>16</v>
      </c>
      <c r="U1015" s="17">
        <f t="shared" si="32"/>
        <v>0</v>
      </c>
    </row>
    <row r="1016" spans="1:21" x14ac:dyDescent="0.3">
      <c r="A1016" s="13">
        <v>71</v>
      </c>
      <c r="B1016" s="13" t="str">
        <f>+VLOOKUP(A1016,'[1]PA 2023'!$A$8:$E$84,5)</f>
        <v>Formular e implementar 1 estrategia de corresponsabilidad en la garantía de derechos, la prevención de vulneración, amenaza o riesgo en el ámbito familiar, comunitario e institucional.</v>
      </c>
      <c r="C1016" s="14">
        <v>2022680010056</v>
      </c>
      <c r="D1016" s="14" t="str">
        <f>+VLOOKUP(C1016,'[1]PA 2023'!$G$8:$H$84,2,FALSE)</f>
        <v>APOYO EN LOS PROCESOS DE ATENCIÓN INTEGRAL DE LOS NIÑOS Y NIÑAS EN EL ESPACIO DE CUIDADO Y ALBERGUE "CASA BÚHO" EN EL MUNICIPIO DE BUCARAMANGA</v>
      </c>
      <c r="E1016" s="13" t="s">
        <v>2066</v>
      </c>
      <c r="F1016" s="15" t="s">
        <v>22</v>
      </c>
      <c r="G1016" s="22" t="s">
        <v>23</v>
      </c>
      <c r="H1016" s="21" t="s">
        <v>23</v>
      </c>
      <c r="I1016" s="13" t="s">
        <v>260</v>
      </c>
      <c r="J1016" s="13" t="s">
        <v>970</v>
      </c>
      <c r="K1016" s="16">
        <v>45166</v>
      </c>
      <c r="L1016" s="17">
        <v>1907937</v>
      </c>
      <c r="M1016" s="17">
        <v>1907937</v>
      </c>
      <c r="N1016" s="18">
        <v>1907937</v>
      </c>
      <c r="O1016" s="15" t="s">
        <v>23</v>
      </c>
      <c r="Q1016" s="13">
        <v>10645</v>
      </c>
      <c r="R1016" s="13" t="s">
        <v>170</v>
      </c>
      <c r="S1016" s="13" t="s">
        <v>261</v>
      </c>
      <c r="T1016" s="13" t="s">
        <v>16</v>
      </c>
      <c r="U1016" s="17">
        <f t="shared" si="32"/>
        <v>0</v>
      </c>
    </row>
    <row r="1017" spans="1:21" x14ac:dyDescent="0.3">
      <c r="A1017" s="13">
        <v>99</v>
      </c>
      <c r="B1017" s="13" t="str">
        <f>+VLOOKUP(A1017,'[1]PA 2023'!$A$8:$E$84,5)</f>
        <v>Formular e implementar 1 estrategia para brindar asistencia social a la población afectada por las diferentes emergencias y particularmente COVID-19.</v>
      </c>
      <c r="C1017" s="14">
        <v>2022680010036</v>
      </c>
      <c r="D1017" s="14" t="str">
        <f>+VLOOKUP(C1017,'[1]PA 2023'!$G$8:$H$84,2,FALSE)</f>
        <v>IMPLEMENTACIÓN DE ACCIONES DE ASISTENCIA SOCIAL ORIENTADAS A LA POBLACIÓN AFECTADA POR LAS DIFERENTES EMERGENCIAS SOCIALES, NATURALES, SANITARIAS ANTRÓPICAS O EN SITUACIÓN DE VULNERABILIDAD EN EL MUNICIPIO DE BUCARAMANGA</v>
      </c>
      <c r="E1017" s="13" t="s">
        <v>1064</v>
      </c>
      <c r="F1017" s="15">
        <v>1767</v>
      </c>
      <c r="G1017" s="22" t="s">
        <v>1960</v>
      </c>
      <c r="H1017" s="21" t="s">
        <v>36</v>
      </c>
      <c r="I1017" s="13" t="s">
        <v>1076</v>
      </c>
      <c r="J1017" s="13" t="s">
        <v>538</v>
      </c>
      <c r="K1017" s="16">
        <v>45167</v>
      </c>
      <c r="L1017" s="17">
        <v>-60000</v>
      </c>
      <c r="M1017" s="17">
        <v>-60000</v>
      </c>
      <c r="N1017" s="18">
        <v>0</v>
      </c>
      <c r="O1017" s="22" t="s">
        <v>1077</v>
      </c>
      <c r="Q1017" s="13">
        <v>3549</v>
      </c>
      <c r="R1017" s="23" t="s">
        <v>540</v>
      </c>
      <c r="S1017" s="13" t="s">
        <v>1078</v>
      </c>
      <c r="T1017" s="13" t="s">
        <v>16</v>
      </c>
      <c r="U1017" s="26">
        <v>0</v>
      </c>
    </row>
    <row r="1018" spans="1:21" x14ac:dyDescent="0.3">
      <c r="A1018" s="13">
        <v>115</v>
      </c>
      <c r="B1018" s="13" t="str">
        <f>+VLOOKUP(A1018,'[1]PA 2023'!$A$8:$E$84,5)</f>
        <v>Garantizar y mantener la atención integral en procesos de habilitación y rehabilitación a 250 niñas, niños y adolescentes con discapacidad del sector urbano y rural en extrema vulnerabilidad.</v>
      </c>
      <c r="C1018" s="14">
        <v>2020680010121</v>
      </c>
      <c r="D1018" s="14" t="str">
        <f>+VLOOKUP(C1018,'[1]PA 2023'!$G$8:$H$84,2,FALSE)</f>
        <v>APOYO A LA OPERATIVIDAD DE LOS PROGRAMAS DE ATENCIÓN INTEGRAL A LAS PERSONAS CON DISCAPACIDAD. FAMILIARES Y/O CUIDADORES DEL MUNICIPIO DE BUCARAMANGA</v>
      </c>
      <c r="E1018" s="13" t="s">
        <v>1104</v>
      </c>
      <c r="F1018" s="15">
        <v>36</v>
      </c>
      <c r="G1018" s="22" t="s">
        <v>184</v>
      </c>
      <c r="H1018" s="21" t="s">
        <v>1901</v>
      </c>
      <c r="I1018" s="13" t="s">
        <v>190</v>
      </c>
      <c r="J1018" s="13" t="s">
        <v>191</v>
      </c>
      <c r="K1018" s="16">
        <v>45167</v>
      </c>
      <c r="L1018" s="17">
        <v>-2016000</v>
      </c>
      <c r="M1018" s="17">
        <v>-2016000</v>
      </c>
      <c r="N1018" s="18">
        <v>0</v>
      </c>
      <c r="O1018" s="22" t="s">
        <v>1105</v>
      </c>
      <c r="Q1018" s="13">
        <v>3677</v>
      </c>
      <c r="R1018" s="23" t="s">
        <v>193</v>
      </c>
      <c r="S1018" s="13" t="s">
        <v>194</v>
      </c>
      <c r="T1018" s="13" t="s">
        <v>16</v>
      </c>
      <c r="U1018" s="26">
        <v>0</v>
      </c>
    </row>
    <row r="1019" spans="1:21" x14ac:dyDescent="0.3">
      <c r="A1019" s="13">
        <v>115</v>
      </c>
      <c r="B1019" s="13" t="str">
        <f>+VLOOKUP(A1019,'[1]PA 2023'!$A$8:$E$84,5)</f>
        <v>Garantizar y mantener la atención integral en procesos de habilitación y rehabilitación a 250 niñas, niños y adolescentes con discapacidad del sector urbano y rural en extrema vulnerabilidad.</v>
      </c>
      <c r="C1019" s="14">
        <v>2020680010121</v>
      </c>
      <c r="D1019" s="14" t="str">
        <f>+VLOOKUP(C1019,'[1]PA 2023'!$G$8:$H$84,2,FALSE)</f>
        <v>APOYO A LA OPERATIVIDAD DE LOS PROGRAMAS DE ATENCIÓN INTEGRAL A LAS PERSONAS CON DISCAPACIDAD. FAMILIARES Y/O CUIDADORES DEL MUNICIPIO DE BUCARAMANGA</v>
      </c>
      <c r="E1019" s="13" t="s">
        <v>1108</v>
      </c>
      <c r="F1019" s="15">
        <v>39</v>
      </c>
      <c r="G1019" s="22" t="s">
        <v>184</v>
      </c>
      <c r="H1019" s="21" t="s">
        <v>1901</v>
      </c>
      <c r="I1019" s="13" t="s">
        <v>202</v>
      </c>
      <c r="J1019" s="13" t="s">
        <v>191</v>
      </c>
      <c r="K1019" s="16">
        <v>45167</v>
      </c>
      <c r="L1019" s="17">
        <v>-8064000</v>
      </c>
      <c r="M1019" s="17">
        <v>-8064000</v>
      </c>
      <c r="N1019" s="18">
        <v>0</v>
      </c>
      <c r="O1019" s="22" t="s">
        <v>1109</v>
      </c>
      <c r="Q1019" s="13">
        <v>3701</v>
      </c>
      <c r="R1019" s="23" t="s">
        <v>193</v>
      </c>
      <c r="S1019" s="13" t="s">
        <v>204</v>
      </c>
      <c r="T1019" s="13" t="s">
        <v>16</v>
      </c>
      <c r="U1019" s="26">
        <v>0</v>
      </c>
    </row>
    <row r="1020" spans="1:21" x14ac:dyDescent="0.3">
      <c r="A1020" s="13">
        <v>115</v>
      </c>
      <c r="B1020" s="13" t="str">
        <f>+VLOOKUP(A1020,'[1]PA 2023'!$A$8:$E$84,5)</f>
        <v>Garantizar y mantener la atención integral en procesos de habilitación y rehabilitación a 250 niñas, niños y adolescentes con discapacidad del sector urbano y rural en extrema vulnerabilidad.</v>
      </c>
      <c r="C1020" s="14">
        <v>2020680010121</v>
      </c>
      <c r="D1020" s="14" t="str">
        <f>+VLOOKUP(C1020,'[1]PA 2023'!$G$8:$H$84,2,FALSE)</f>
        <v>APOYO A LA OPERATIVIDAD DE LOS PROGRAMAS DE ATENCIÓN INTEGRAL A LAS PERSONAS CON DISCAPACIDAD. FAMILIARES Y/O CUIDADORES DEL MUNICIPIO DE BUCARAMANGA</v>
      </c>
      <c r="E1020" s="13" t="s">
        <v>1145</v>
      </c>
      <c r="F1020" s="15">
        <v>43</v>
      </c>
      <c r="G1020" s="22" t="s">
        <v>177</v>
      </c>
      <c r="H1020" s="21" t="s">
        <v>1901</v>
      </c>
      <c r="I1020" s="13" t="s">
        <v>439</v>
      </c>
      <c r="J1020" s="13" t="s">
        <v>191</v>
      </c>
      <c r="K1020" s="16">
        <v>45167</v>
      </c>
      <c r="L1020" s="17">
        <v>-47040000</v>
      </c>
      <c r="M1020" s="17">
        <v>-47040000</v>
      </c>
      <c r="N1020" s="18">
        <v>0</v>
      </c>
      <c r="O1020" s="22" t="s">
        <v>1146</v>
      </c>
      <c r="Q1020" s="13">
        <v>3905</v>
      </c>
      <c r="R1020" s="23" t="s">
        <v>193</v>
      </c>
      <c r="S1020" s="13" t="s">
        <v>441</v>
      </c>
      <c r="T1020" s="13" t="s">
        <v>16</v>
      </c>
      <c r="U1020" s="26">
        <v>0</v>
      </c>
    </row>
    <row r="1021" spans="1:21" x14ac:dyDescent="0.3">
      <c r="A1021" s="13">
        <v>77</v>
      </c>
      <c r="B1021" s="13" t="str">
        <f>+VLOOKUP(A1021,'[1]PA 2023'!$A$8:$E$84,5)</f>
        <v>Realizar 4 jornadas de conmemoración del día de la niñez.</v>
      </c>
      <c r="C1021" s="14">
        <v>2021680010003</v>
      </c>
      <c r="D1021" s="14" t="str">
        <f>+VLOOKUP(C1021,'[1]PA 2023'!$G$8:$H$84,2,FALSE)</f>
        <v>IMPLEMENTACIÓN DE ESTRATEGIAS PSICOPEDAGÓGICAS PARA LA DISMINUCIÓN DE FACTORES DE RIESGO EN NIÑOS, NIÑAS Y ADOLESCENTES EN EL MUNICIPIO DE BUCARAMANGA</v>
      </c>
      <c r="E1021" s="13" t="s">
        <v>1179</v>
      </c>
      <c r="F1021" s="15">
        <v>63</v>
      </c>
      <c r="G1021" s="22" t="s">
        <v>1180</v>
      </c>
      <c r="H1021" s="21" t="s">
        <v>1165</v>
      </c>
      <c r="I1021" s="13" t="s">
        <v>1181</v>
      </c>
      <c r="J1021" s="13" t="s">
        <v>1182</v>
      </c>
      <c r="K1021" s="16">
        <v>45167</v>
      </c>
      <c r="L1021" s="17">
        <v>-3094</v>
      </c>
      <c r="M1021" s="17">
        <v>-3094</v>
      </c>
      <c r="N1021" s="18">
        <v>0</v>
      </c>
      <c r="O1021" s="22" t="s">
        <v>1183</v>
      </c>
      <c r="Q1021" s="13">
        <v>4845</v>
      </c>
      <c r="R1021" s="23" t="s">
        <v>164</v>
      </c>
      <c r="S1021" s="13" t="s">
        <v>1184</v>
      </c>
      <c r="T1021" s="13" t="s">
        <v>16</v>
      </c>
      <c r="U1021" s="26">
        <v>0</v>
      </c>
    </row>
    <row r="1022" spans="1:21" x14ac:dyDescent="0.3">
      <c r="A1022" s="13">
        <v>113</v>
      </c>
      <c r="B1022" s="13" t="str">
        <f>+VLOOKUP(A1022,'[1]PA 2023'!$A$8:$E$84,5)</f>
        <v>Formular e implementar 1 política pública para habitante de calle.</v>
      </c>
      <c r="C1022" s="14">
        <v>2020680010050</v>
      </c>
      <c r="D1022" s="14" t="str">
        <f>+VLOOKUP(C1022,'[1]PA 2023'!$G$8:$H$84,2,FALSE)</f>
        <v>DESARROLLO DE ACCIONES ENCAMINADAS A GENERAR ATENCIÓN INTEGRAL HACIA LA POBLACIÓN HABITANTES EN SITUACIÓN DE CALLE DEL MUNICIPIO DE BUCARAMANGA</v>
      </c>
      <c r="E1022" s="13" t="s">
        <v>2067</v>
      </c>
      <c r="F1022" s="15">
        <v>3449</v>
      </c>
      <c r="G1022" s="21" t="s">
        <v>43</v>
      </c>
      <c r="H1022" s="21" t="s">
        <v>36</v>
      </c>
      <c r="I1022" s="13" t="s">
        <v>2068</v>
      </c>
      <c r="J1022" s="13" t="s">
        <v>1759</v>
      </c>
      <c r="K1022" s="16">
        <v>45167</v>
      </c>
      <c r="L1022" s="17">
        <v>9166666.6600000001</v>
      </c>
      <c r="M1022" s="17">
        <v>9166666.6600000001</v>
      </c>
      <c r="N1022" s="18">
        <v>166666.67000000001</v>
      </c>
      <c r="O1022" s="22" t="s">
        <v>2069</v>
      </c>
      <c r="Q1022" s="13">
        <v>10693</v>
      </c>
      <c r="R1022" s="13" t="s">
        <v>1761</v>
      </c>
      <c r="S1022" s="13" t="s">
        <v>2070</v>
      </c>
      <c r="T1022" s="13" t="s">
        <v>16</v>
      </c>
      <c r="U1022" s="17">
        <f>+M1022-N1022</f>
        <v>8999999.9900000002</v>
      </c>
    </row>
    <row r="1023" spans="1:21" x14ac:dyDescent="0.3">
      <c r="A1023" s="13">
        <v>300</v>
      </c>
      <c r="B1023" s="13" t="str">
        <f>+VLOOKUP(A1023,'[1]PA 2023'!$A$8:$E$84,5)</f>
        <v>Mantener el 100% de los programas que desarrolla la Administración Central.</v>
      </c>
      <c r="C1023" s="14">
        <v>2023680010016</v>
      </c>
      <c r="D1023" s="14" t="str">
        <f>+VLOOKUP(C1023,'[1]PA 2023'!$G$8:$H$84,2,FALSE)</f>
        <v>APOYO A LA GESTIÓN ADMINISTRATIVA Y PROCESOS TRANSVERSALES DE LA SECRETARIA DE DESARROLLO SOCIAL DEL MUNICIPIO DE BUCARAMANGA</v>
      </c>
      <c r="E1023" s="13" t="s">
        <v>1754</v>
      </c>
      <c r="F1023" s="15">
        <v>2929</v>
      </c>
      <c r="G1023" s="21" t="s">
        <v>43</v>
      </c>
      <c r="H1023" s="21" t="s">
        <v>36</v>
      </c>
      <c r="I1023" s="13" t="s">
        <v>883</v>
      </c>
      <c r="J1023" s="13" t="s">
        <v>1388</v>
      </c>
      <c r="K1023" s="16">
        <v>45168</v>
      </c>
      <c r="L1023" s="17">
        <v>-13300000</v>
      </c>
      <c r="M1023" s="17">
        <v>-13300000</v>
      </c>
      <c r="N1023" s="18">
        <v>0</v>
      </c>
      <c r="O1023" s="22" t="s">
        <v>1755</v>
      </c>
      <c r="Q1023" s="13">
        <v>7623</v>
      </c>
      <c r="R1023" s="23" t="s">
        <v>1390</v>
      </c>
      <c r="S1023" s="13" t="s">
        <v>885</v>
      </c>
      <c r="T1023" s="13" t="s">
        <v>16</v>
      </c>
      <c r="U1023" s="26">
        <v>0</v>
      </c>
    </row>
    <row r="1024" spans="1:21" x14ac:dyDescent="0.3">
      <c r="A1024" s="13">
        <v>72</v>
      </c>
      <c r="B1024" s="13" t="str">
        <f>+VLOOKUP(A1024,'[1]PA 2023'!$A$8:$E$84,5)</f>
        <v>Implementar 4 iniciativas que promueva la participación activa de niños y niñas desde la primera infancia en espacios de interés privados y públicos en los que se fortalezcan  habilidades para la vida, preparación para el proyecto de vida y el ejercicio de sus derechos.</v>
      </c>
      <c r="C1024" s="14">
        <v>2021680010003</v>
      </c>
      <c r="D1024" s="14" t="str">
        <f>+VLOOKUP(C1024,'[1]PA 2023'!$G$8:$H$84,2,FALSE)</f>
        <v>IMPLEMENTACIÓN DE ESTRATEGIAS PSICOPEDAGÓGICAS PARA LA DISMINUCIÓN DE FACTORES DE RIESGO EN NIÑOS, NIÑAS Y ADOLESCENTES EN EL MUNICIPIO DE BUCARAMANGA</v>
      </c>
      <c r="E1024" s="13" t="s">
        <v>2071</v>
      </c>
      <c r="F1024" s="15">
        <v>220</v>
      </c>
      <c r="G1024" s="22" t="s">
        <v>2072</v>
      </c>
      <c r="H1024" s="21" t="s">
        <v>36</v>
      </c>
      <c r="I1024" s="13" t="s">
        <v>2073</v>
      </c>
      <c r="J1024" s="13" t="s">
        <v>2074</v>
      </c>
      <c r="K1024" s="16">
        <v>45173</v>
      </c>
      <c r="L1024" s="17">
        <v>40950000</v>
      </c>
      <c r="M1024" s="17">
        <v>40950000</v>
      </c>
      <c r="N1024" s="18">
        <v>0</v>
      </c>
      <c r="O1024" s="22" t="s">
        <v>2075</v>
      </c>
      <c r="Q1024" s="13">
        <v>10967</v>
      </c>
      <c r="R1024" s="13" t="s">
        <v>2076</v>
      </c>
      <c r="S1024" s="13" t="s">
        <v>2077</v>
      </c>
      <c r="T1024" s="13" t="s">
        <v>16</v>
      </c>
      <c r="U1024" s="17">
        <f t="shared" ref="U1024:U1087" si="33">+M1024-N1024</f>
        <v>40950000</v>
      </c>
    </row>
    <row r="1025" spans="1:21" x14ac:dyDescent="0.3">
      <c r="A1025" s="13">
        <v>283</v>
      </c>
      <c r="B1025" s="13" t="str">
        <f>+VLOOKUP(A1025,'[1]PA 2023'!$A$8:$E$84,5)</f>
        <v>Formular e implementar 1 estrategia que fortalezca la democracia participativa (Ley 1757 de 2015).</v>
      </c>
      <c r="C1025" s="14">
        <v>2022680010029</v>
      </c>
      <c r="D1025" s="14" t="str">
        <f>+VLOOKUP(C1025,'[1]PA 2023'!$G$8:$H$84,2,FALSE)</f>
        <v>FORTALECIMIENTO DE LA PARTICIPACIÓN CIUDADANA EN EL MUNICIPIO DE BUCARAMANGA</v>
      </c>
      <c r="E1025" s="13" t="s">
        <v>2078</v>
      </c>
      <c r="F1025" s="15" t="s">
        <v>22</v>
      </c>
      <c r="G1025" s="22" t="s">
        <v>23</v>
      </c>
      <c r="H1025" s="21" t="s">
        <v>23</v>
      </c>
      <c r="I1025" s="13" t="s">
        <v>470</v>
      </c>
      <c r="J1025" s="13" t="s">
        <v>468</v>
      </c>
      <c r="K1025" s="16">
        <v>45174</v>
      </c>
      <c r="L1025" s="17">
        <v>59342.29</v>
      </c>
      <c r="M1025" s="17">
        <v>59342.29</v>
      </c>
      <c r="N1025" s="18">
        <v>59342.29</v>
      </c>
      <c r="O1025" s="15" t="s">
        <v>23</v>
      </c>
      <c r="Q1025" s="13">
        <v>10994</v>
      </c>
      <c r="R1025" s="23" t="s">
        <v>134</v>
      </c>
      <c r="S1025" s="13" t="s">
        <v>471</v>
      </c>
      <c r="T1025" s="13" t="s">
        <v>16</v>
      </c>
      <c r="U1025" s="17">
        <f t="shared" si="33"/>
        <v>0</v>
      </c>
    </row>
    <row r="1026" spans="1:21" x14ac:dyDescent="0.3">
      <c r="A1026" s="13">
        <v>93</v>
      </c>
      <c r="B1026" s="13" t="str">
        <f>+VLOOKUP(A1026,'[1]PA 2023'!$A$8:$E$84,5)</f>
        <v>Mantener en funcionamiento los 3 Centros Vida con la prestacion de servicios integrales y/o dotacion de los mismos cumpliendo con la oferta institucional.</v>
      </c>
      <c r="C1026" s="14">
        <v>2020680010040</v>
      </c>
      <c r="D1026" s="14" t="str">
        <f>+VLOOKUP(C1026,'[1]PA 2023'!$G$8:$H$84,2,FALSE)</f>
        <v>IMPLEMENTACIÓN DE ACCIONES TENDIENTES A MEJORAR LAS CONDICIONES DE LOS ADULTOS MAYORES DEL MUNICIPIO DE BUCARAMANGA</v>
      </c>
      <c r="E1026" s="13" t="s">
        <v>2078</v>
      </c>
      <c r="F1026" s="15" t="s">
        <v>22</v>
      </c>
      <c r="G1026" s="22" t="s">
        <v>23</v>
      </c>
      <c r="H1026" s="21" t="s">
        <v>23</v>
      </c>
      <c r="I1026" s="13" t="s">
        <v>470</v>
      </c>
      <c r="J1026" s="13" t="s">
        <v>25</v>
      </c>
      <c r="K1026" s="16">
        <v>45174</v>
      </c>
      <c r="L1026" s="17">
        <v>93432.56</v>
      </c>
      <c r="M1026" s="17">
        <v>93432.56</v>
      </c>
      <c r="N1026" s="18">
        <v>93432.56</v>
      </c>
      <c r="O1026" s="15" t="s">
        <v>23</v>
      </c>
      <c r="Q1026" s="13">
        <v>10994</v>
      </c>
      <c r="R1026" s="23" t="s">
        <v>26</v>
      </c>
      <c r="S1026" s="13" t="s">
        <v>471</v>
      </c>
      <c r="T1026" s="13" t="s">
        <v>16</v>
      </c>
      <c r="U1026" s="17">
        <f t="shared" si="33"/>
        <v>0</v>
      </c>
    </row>
    <row r="1027" spans="1:21" x14ac:dyDescent="0.3">
      <c r="A1027" s="13">
        <v>98</v>
      </c>
      <c r="B1027" s="13" t="str">
        <f>+VLOOKUP(A1027,'[1]PA 2023'!$A$8:$E$84,5)</f>
        <v>Mantener el 100% del apoyo logístico a las familias beneficiadas del programa Familias en Acción.</v>
      </c>
      <c r="C1027" s="14">
        <v>2020680010072</v>
      </c>
      <c r="D1027" s="14" t="str">
        <f>+VLOOKUP(C1027,'[1]PA 2023'!$G$8:$H$84,2,FALSE)</f>
        <v>APOYO A LA OPERATIVIDAD DEL PROGRAMA NACIONAL MÁS FAMILIAS EN ACCIÓN EN EL MUNICIPIO DE BUCARAMANGA</v>
      </c>
      <c r="E1027" s="13" t="s">
        <v>2078</v>
      </c>
      <c r="F1027" s="15" t="s">
        <v>22</v>
      </c>
      <c r="G1027" s="22" t="s">
        <v>23</v>
      </c>
      <c r="H1027" s="21" t="s">
        <v>23</v>
      </c>
      <c r="I1027" s="13" t="s">
        <v>470</v>
      </c>
      <c r="J1027" s="13" t="s">
        <v>472</v>
      </c>
      <c r="K1027" s="16">
        <v>45174</v>
      </c>
      <c r="L1027" s="17">
        <v>59342.29</v>
      </c>
      <c r="M1027" s="17">
        <v>59342.29</v>
      </c>
      <c r="N1027" s="18">
        <v>59342.29</v>
      </c>
      <c r="O1027" s="15" t="s">
        <v>23</v>
      </c>
      <c r="Q1027" s="13">
        <v>10994</v>
      </c>
      <c r="R1027" s="23" t="s">
        <v>473</v>
      </c>
      <c r="S1027" s="13" t="s">
        <v>471</v>
      </c>
      <c r="T1027" s="13" t="s">
        <v>16</v>
      </c>
      <c r="U1027" s="17">
        <f t="shared" si="33"/>
        <v>0</v>
      </c>
    </row>
    <row r="1028" spans="1:21" x14ac:dyDescent="0.3">
      <c r="A1028" s="13">
        <v>94</v>
      </c>
      <c r="B1028" s="13" t="str">
        <f>+VLOOKUP(A1028,'[1]PA 2023'!$A$8:$E$84,5)</f>
        <v>Mantener el servicio atención primaria en salud, atención psicosocial que promueva la salud física, salud mental y el bienestar social de las personas mayores en los centros vida.</v>
      </c>
      <c r="C1028" s="14">
        <v>2020680010040</v>
      </c>
      <c r="D1028" s="14" t="str">
        <f>+VLOOKUP(C1028,'[1]PA 2023'!$G$8:$H$84,2,FALSE)</f>
        <v>IMPLEMENTACIÓN DE ACCIONES TENDIENTES A MEJORAR LAS CONDICIONES DE LOS ADULTOS MAYORES DEL MUNICIPIO DE BUCARAMANGA</v>
      </c>
      <c r="E1028" s="13" t="s">
        <v>2079</v>
      </c>
      <c r="F1028" s="15">
        <v>3557</v>
      </c>
      <c r="G1028" s="21" t="s">
        <v>43</v>
      </c>
      <c r="H1028" s="21" t="s">
        <v>36</v>
      </c>
      <c r="I1028" s="13" t="s">
        <v>2080</v>
      </c>
      <c r="J1028" s="13" t="s">
        <v>574</v>
      </c>
      <c r="K1028" s="16">
        <v>45175</v>
      </c>
      <c r="L1028" s="17">
        <v>9000000</v>
      </c>
      <c r="M1028" s="17">
        <v>9000000</v>
      </c>
      <c r="N1028" s="18">
        <v>0</v>
      </c>
      <c r="O1028" s="22" t="s">
        <v>2081</v>
      </c>
      <c r="Q1028" s="13">
        <v>11114</v>
      </c>
      <c r="R1028" s="13" t="s">
        <v>26</v>
      </c>
      <c r="S1028" s="13" t="s">
        <v>2082</v>
      </c>
      <c r="T1028" s="13" t="s">
        <v>16</v>
      </c>
      <c r="U1028" s="17">
        <f t="shared" si="33"/>
        <v>9000000</v>
      </c>
    </row>
    <row r="1029" spans="1:21" x14ac:dyDescent="0.3">
      <c r="A1029" s="13">
        <v>117</v>
      </c>
      <c r="B1029" s="13" t="str">
        <f>+VLOOKUP(A1029,'[1]PA 2023'!$A$8:$E$84,5)</f>
        <v>Formular e implementar 1 estrategia de orientación ocupacional, aprovechamiento del tiempo libre, formación y esparcimiento cultural y actividades que mejoren la calidad de vida dirigidas a personas con discapacidad.</v>
      </c>
      <c r="C1029" s="14">
        <v>2020680010121</v>
      </c>
      <c r="D1029" s="14" t="str">
        <f>+VLOOKUP(C1029,'[1]PA 2023'!$G$8:$H$84,2,FALSE)</f>
        <v>APOYO A LA OPERATIVIDAD DE LOS PROGRAMAS DE ATENCIÓN INTEGRAL A LAS PERSONAS CON DISCAPACIDAD. FAMILIARES Y/O CUIDADORES DEL MUNICIPIO DE BUCARAMANGA</v>
      </c>
      <c r="E1029" s="13" t="s">
        <v>2083</v>
      </c>
      <c r="F1029" s="15">
        <v>223</v>
      </c>
      <c r="G1029" s="22" t="s">
        <v>1949</v>
      </c>
      <c r="H1029" s="21" t="s">
        <v>1901</v>
      </c>
      <c r="I1029" s="13" t="s">
        <v>190</v>
      </c>
      <c r="J1029" s="13" t="s">
        <v>191</v>
      </c>
      <c r="K1029" s="16">
        <v>45177</v>
      </c>
      <c r="L1029" s="17">
        <v>112700000</v>
      </c>
      <c r="M1029" s="17">
        <v>112700000</v>
      </c>
      <c r="N1029" s="18">
        <v>0</v>
      </c>
      <c r="O1029" s="22" t="s">
        <v>2084</v>
      </c>
      <c r="Q1029" s="13">
        <v>11154</v>
      </c>
      <c r="R1029" s="13" t="s">
        <v>193</v>
      </c>
      <c r="S1029" s="13" t="s">
        <v>194</v>
      </c>
      <c r="T1029" s="13" t="s">
        <v>16</v>
      </c>
      <c r="U1029" s="17">
        <f t="shared" si="33"/>
        <v>112700000</v>
      </c>
    </row>
    <row r="1030" spans="1:21" x14ac:dyDescent="0.3">
      <c r="A1030" s="13">
        <v>300</v>
      </c>
      <c r="B1030" s="13" t="str">
        <f>+VLOOKUP(A1030,'[1]PA 2023'!$A$8:$E$84,5)</f>
        <v>Mantener el 100% de los programas que desarrolla la Administración Central.</v>
      </c>
      <c r="C1030" s="14">
        <v>2023680010016</v>
      </c>
      <c r="D1030" s="14" t="str">
        <f>+VLOOKUP(C1030,'[1]PA 2023'!$G$8:$H$84,2,FALSE)</f>
        <v>APOYO A LA GESTIÓN ADMINISTRATIVA Y PROCESOS TRANSVERSALES DE LA SECRETARIA DE DESARROLLO SOCIAL DEL MUNICIPIO DE BUCARAMANGA</v>
      </c>
      <c r="E1030" s="13" t="s">
        <v>2085</v>
      </c>
      <c r="F1030" s="15">
        <v>3582</v>
      </c>
      <c r="G1030" s="21" t="s">
        <v>35</v>
      </c>
      <c r="H1030" s="21" t="s">
        <v>36</v>
      </c>
      <c r="I1030" s="13" t="s">
        <v>2086</v>
      </c>
      <c r="J1030" s="13" t="s">
        <v>1388</v>
      </c>
      <c r="K1030" s="16">
        <v>45177</v>
      </c>
      <c r="L1030" s="17">
        <v>8400000</v>
      </c>
      <c r="M1030" s="17">
        <v>8400000</v>
      </c>
      <c r="N1030" s="18">
        <v>0</v>
      </c>
      <c r="O1030" s="22" t="s">
        <v>2087</v>
      </c>
      <c r="Q1030" s="13">
        <v>11185</v>
      </c>
      <c r="R1030" s="13" t="s">
        <v>1390</v>
      </c>
      <c r="S1030" s="13" t="s">
        <v>2088</v>
      </c>
      <c r="T1030" s="13" t="s">
        <v>16</v>
      </c>
      <c r="U1030" s="17">
        <f t="shared" si="33"/>
        <v>8400000</v>
      </c>
    </row>
    <row r="1031" spans="1:21" x14ac:dyDescent="0.3">
      <c r="A1031" s="13">
        <v>71</v>
      </c>
      <c r="B1031" s="13" t="str">
        <f>+VLOOKUP(A1031,'[1]PA 2023'!$A$8:$E$84,5)</f>
        <v>Formular e implementar 1 estrategia de corresponsabilidad en la garantía de derechos, la prevención de vulneración, amenaza o riesgo en el ámbito familiar, comunitario e institucional.</v>
      </c>
      <c r="C1031" s="14">
        <v>2022680010056</v>
      </c>
      <c r="D1031" s="14" t="str">
        <f>+VLOOKUP(C1031,'[1]PA 2023'!$G$8:$H$84,2,FALSE)</f>
        <v>APOYO EN LOS PROCESOS DE ATENCIÓN INTEGRAL DE LOS NIÑOS Y NIÑAS EN EL ESPACIO DE CUIDADO Y ALBERGUE "CASA BÚHO" EN EL MUNICIPIO DE BUCARAMANGA</v>
      </c>
      <c r="E1031" s="13" t="s">
        <v>2089</v>
      </c>
      <c r="F1031" s="15">
        <v>3583</v>
      </c>
      <c r="G1031" s="21" t="s">
        <v>43</v>
      </c>
      <c r="H1031" s="21" t="s">
        <v>36</v>
      </c>
      <c r="I1031" s="13" t="s">
        <v>2090</v>
      </c>
      <c r="J1031" s="13" t="s">
        <v>168</v>
      </c>
      <c r="K1031" s="16">
        <v>45180</v>
      </c>
      <c r="L1031" s="17">
        <v>4724312</v>
      </c>
      <c r="M1031" s="17">
        <v>4724312</v>
      </c>
      <c r="N1031" s="18">
        <v>0</v>
      </c>
      <c r="O1031" s="22" t="s">
        <v>2091</v>
      </c>
      <c r="Q1031" s="13">
        <v>11198</v>
      </c>
      <c r="R1031" s="23" t="s">
        <v>170</v>
      </c>
      <c r="S1031" s="13" t="s">
        <v>2092</v>
      </c>
      <c r="T1031" s="13" t="s">
        <v>16</v>
      </c>
      <c r="U1031" s="17">
        <f t="shared" si="33"/>
        <v>4724312</v>
      </c>
    </row>
    <row r="1032" spans="1:21" x14ac:dyDescent="0.3">
      <c r="A1032" s="13">
        <v>71</v>
      </c>
      <c r="B1032" s="13" t="str">
        <f>+VLOOKUP(A1032,'[1]PA 2023'!$A$8:$E$84,5)</f>
        <v>Formular e implementar 1 estrategia de corresponsabilidad en la garantía de derechos, la prevención de vulneración, amenaza o riesgo en el ámbito familiar, comunitario e institucional.</v>
      </c>
      <c r="C1032" s="14">
        <v>2021680010003</v>
      </c>
      <c r="D1032" s="14" t="str">
        <f>+VLOOKUP(C1032,'[1]PA 2023'!$G$8:$H$84,2,FALSE)</f>
        <v>IMPLEMENTACIÓN DE ESTRATEGIAS PSICOPEDAGÓGICAS PARA LA DISMINUCIÓN DE FACTORES DE RIESGO EN NIÑOS, NIÑAS Y ADOLESCENTES EN EL MUNICIPIO DE BUCARAMANGA</v>
      </c>
      <c r="E1032" s="13" t="s">
        <v>2089</v>
      </c>
      <c r="F1032" s="15">
        <v>3583</v>
      </c>
      <c r="G1032" s="21" t="s">
        <v>43</v>
      </c>
      <c r="H1032" s="21" t="s">
        <v>36</v>
      </c>
      <c r="I1032" s="13" t="s">
        <v>2090</v>
      </c>
      <c r="J1032" s="13" t="s">
        <v>1607</v>
      </c>
      <c r="K1032" s="16">
        <v>45180</v>
      </c>
      <c r="L1032" s="17">
        <v>1276774</v>
      </c>
      <c r="M1032" s="18">
        <v>1276774</v>
      </c>
      <c r="N1032" s="18">
        <v>0</v>
      </c>
      <c r="O1032" s="22" t="s">
        <v>2091</v>
      </c>
      <c r="Q1032" s="13">
        <v>11198</v>
      </c>
      <c r="R1032" s="23" t="s">
        <v>1609</v>
      </c>
      <c r="S1032" s="13" t="s">
        <v>2092</v>
      </c>
      <c r="T1032" s="13" t="s">
        <v>16</v>
      </c>
      <c r="U1032" s="17">
        <f t="shared" si="33"/>
        <v>1276774</v>
      </c>
    </row>
    <row r="1033" spans="1:21" x14ac:dyDescent="0.3">
      <c r="A1033" s="13">
        <v>71</v>
      </c>
      <c r="B1033" s="13" t="str">
        <f>+VLOOKUP(A1033,'[1]PA 2023'!$A$8:$E$84,5)</f>
        <v>Formular e implementar 1 estrategia de corresponsabilidad en la garantía de derechos, la prevención de vulneración, amenaza o riesgo en el ámbito familiar, comunitario e institucional.</v>
      </c>
      <c r="C1033" s="14">
        <v>2021680010003</v>
      </c>
      <c r="D1033" s="14" t="str">
        <f>+VLOOKUP(C1033,'[1]PA 2023'!$G$8:$H$84,2,FALSE)</f>
        <v>IMPLEMENTACIÓN DE ESTRATEGIAS PSICOPEDAGÓGICAS PARA LA DISMINUCIÓN DE FACTORES DE RIESGO EN NIÑOS, NIÑAS Y ADOLESCENTES EN EL MUNICIPIO DE BUCARAMANGA</v>
      </c>
      <c r="E1033" s="13" t="s">
        <v>2089</v>
      </c>
      <c r="F1033" s="15">
        <v>3583</v>
      </c>
      <c r="G1033" s="21" t="s">
        <v>43</v>
      </c>
      <c r="H1033" s="21" t="s">
        <v>36</v>
      </c>
      <c r="I1033" s="13" t="s">
        <v>2090</v>
      </c>
      <c r="J1033" s="13" t="s">
        <v>212</v>
      </c>
      <c r="K1033" s="16">
        <v>45180</v>
      </c>
      <c r="L1033" s="17">
        <v>3498914</v>
      </c>
      <c r="M1033" s="18">
        <v>3498914</v>
      </c>
      <c r="N1033" s="18">
        <v>0</v>
      </c>
      <c r="O1033" s="22" t="s">
        <v>2091</v>
      </c>
      <c r="Q1033" s="13">
        <v>11198</v>
      </c>
      <c r="R1033" s="23" t="s">
        <v>164</v>
      </c>
      <c r="S1033" s="13" t="s">
        <v>2092</v>
      </c>
      <c r="T1033" s="13" t="s">
        <v>16</v>
      </c>
      <c r="U1033" s="17">
        <f t="shared" si="33"/>
        <v>3498914</v>
      </c>
    </row>
    <row r="1034" spans="1:21" x14ac:dyDescent="0.3">
      <c r="A1034" s="13">
        <v>285</v>
      </c>
      <c r="B1034" s="13" t="str">
        <f>+VLOOKUP(A1034,'[1]PA 2023'!$A$8:$E$84,5)</f>
        <v>Mantener en funcionamiento el 100% de los salones comunales que hacen parte del programa Ágoras.</v>
      </c>
      <c r="C1034" s="14">
        <v>2022680010029</v>
      </c>
      <c r="D1034" s="14" t="str">
        <f>+VLOOKUP(C1034,'[1]PA 2023'!$G$8:$H$84,2,FALSE)</f>
        <v>FORTALECIMIENTO DE LA PARTICIPACIÓN CIUDADANA EN EL MUNICIPIO DE BUCARAMANGA</v>
      </c>
      <c r="E1034" s="13" t="s">
        <v>2093</v>
      </c>
      <c r="F1034" s="15" t="s">
        <v>22</v>
      </c>
      <c r="G1034" s="22" t="s">
        <v>23</v>
      </c>
      <c r="H1034" s="21" t="s">
        <v>23</v>
      </c>
      <c r="I1034" s="13" t="s">
        <v>470</v>
      </c>
      <c r="J1034" s="13" t="s">
        <v>1130</v>
      </c>
      <c r="K1034" s="16">
        <v>45180</v>
      </c>
      <c r="L1034" s="17">
        <v>1177608</v>
      </c>
      <c r="M1034" s="17">
        <v>1177608</v>
      </c>
      <c r="N1034" s="18">
        <v>1177608</v>
      </c>
      <c r="O1034" s="15" t="s">
        <v>23</v>
      </c>
      <c r="Q1034" s="13">
        <v>11199</v>
      </c>
      <c r="R1034" s="13" t="s">
        <v>134</v>
      </c>
      <c r="S1034" s="13" t="s">
        <v>471</v>
      </c>
      <c r="T1034" s="13" t="s">
        <v>16</v>
      </c>
      <c r="U1034" s="17">
        <f t="shared" si="33"/>
        <v>0</v>
      </c>
    </row>
    <row r="1035" spans="1:21" x14ac:dyDescent="0.3">
      <c r="A1035" s="13">
        <v>93</v>
      </c>
      <c r="B1035" s="13" t="str">
        <f>+VLOOKUP(A1035,'[1]PA 2023'!$A$8:$E$84,5)</f>
        <v>Mantener en funcionamiento los 3 Centros Vida con la prestacion de servicios integrales y/o dotacion de los mismos cumpliendo con la oferta institucional.</v>
      </c>
      <c r="C1035" s="14">
        <v>2020680010040</v>
      </c>
      <c r="D1035" s="14" t="str">
        <f>+VLOOKUP(C1035,'[1]PA 2023'!$G$8:$H$84,2,FALSE)</f>
        <v>IMPLEMENTACIÓN DE ACCIONES TENDIENTES A MEJORAR LAS CONDICIONES DE LOS ADULTOS MAYORES DEL MUNICIPIO DE BUCARAMANGA</v>
      </c>
      <c r="E1035" s="13" t="s">
        <v>2094</v>
      </c>
      <c r="F1035" s="15" t="s">
        <v>22</v>
      </c>
      <c r="G1035" s="22" t="s">
        <v>23</v>
      </c>
      <c r="H1035" s="21" t="s">
        <v>23</v>
      </c>
      <c r="I1035" s="13" t="s">
        <v>29</v>
      </c>
      <c r="J1035" s="13" t="s">
        <v>25</v>
      </c>
      <c r="K1035" s="16">
        <v>45180</v>
      </c>
      <c r="L1035" s="17">
        <v>126080</v>
      </c>
      <c r="M1035" s="17">
        <v>126080</v>
      </c>
      <c r="N1035" s="18">
        <v>126080</v>
      </c>
      <c r="O1035" s="15" t="s">
        <v>23</v>
      </c>
      <c r="Q1035" s="13">
        <v>11200</v>
      </c>
      <c r="R1035" s="13" t="s">
        <v>26</v>
      </c>
      <c r="S1035" s="13" t="s">
        <v>30</v>
      </c>
      <c r="T1035" s="13" t="s">
        <v>16</v>
      </c>
      <c r="U1035" s="17">
        <f t="shared" si="33"/>
        <v>0</v>
      </c>
    </row>
    <row r="1036" spans="1:21" x14ac:dyDescent="0.3">
      <c r="A1036" s="13">
        <v>286</v>
      </c>
      <c r="B1036" s="13" t="str">
        <f>+VLOOKUP(A1036,'[1]PA 2023'!$A$8:$E$84,5)</f>
        <v>Mantener el beneficio al 100% de los ediles con pago de EPS, ARL, póliza de vida y dotación.</v>
      </c>
      <c r="C1036" s="14">
        <v>2022680010029</v>
      </c>
      <c r="D1036" s="14" t="str">
        <f>+VLOOKUP(C1036,'[1]PA 2023'!$G$8:$H$84,2,FALSE)</f>
        <v>FORTALECIMIENTO DE LA PARTICIPACIÓN CIUDADANA EN EL MUNICIPIO DE BUCARAMANGA</v>
      </c>
      <c r="E1036" s="13" t="s">
        <v>2095</v>
      </c>
      <c r="F1036" s="15" t="s">
        <v>22</v>
      </c>
      <c r="G1036" s="22" t="s">
        <v>23</v>
      </c>
      <c r="H1036" s="21" t="s">
        <v>23</v>
      </c>
      <c r="I1036" s="13" t="s">
        <v>132</v>
      </c>
      <c r="J1036" s="13" t="s">
        <v>1603</v>
      </c>
      <c r="K1036" s="16">
        <v>45180</v>
      </c>
      <c r="L1036" s="17">
        <v>719800</v>
      </c>
      <c r="M1036" s="17">
        <v>719800</v>
      </c>
      <c r="N1036" s="18">
        <v>719800</v>
      </c>
      <c r="O1036" s="15" t="s">
        <v>23</v>
      </c>
      <c r="Q1036" s="13">
        <v>11202</v>
      </c>
      <c r="R1036" s="13" t="s">
        <v>1462</v>
      </c>
      <c r="S1036" s="13" t="s">
        <v>135</v>
      </c>
      <c r="T1036" s="13" t="s">
        <v>16</v>
      </c>
      <c r="U1036" s="17">
        <f t="shared" si="33"/>
        <v>0</v>
      </c>
    </row>
    <row r="1037" spans="1:21" x14ac:dyDescent="0.3">
      <c r="A1037" s="13">
        <v>286</v>
      </c>
      <c r="B1037" s="13" t="str">
        <f>+VLOOKUP(A1037,'[1]PA 2023'!$A$8:$E$84,5)</f>
        <v>Mantener el beneficio al 100% de los ediles con pago de EPS, ARL, póliza de vida y dotación.</v>
      </c>
      <c r="C1037" s="14">
        <v>2022680010029</v>
      </c>
      <c r="D1037" s="14" t="str">
        <f>+VLOOKUP(C1037,'[1]PA 2023'!$G$8:$H$84,2,FALSE)</f>
        <v>FORTALECIMIENTO DE LA PARTICIPACIÓN CIUDADANA EN EL MUNICIPIO DE BUCARAMANGA</v>
      </c>
      <c r="E1037" s="13" t="s">
        <v>2096</v>
      </c>
      <c r="F1037" s="15" t="s">
        <v>22</v>
      </c>
      <c r="G1037" s="22" t="s">
        <v>23</v>
      </c>
      <c r="H1037" s="21" t="s">
        <v>23</v>
      </c>
      <c r="I1037" s="13" t="s">
        <v>137</v>
      </c>
      <c r="J1037" s="13" t="s">
        <v>1603</v>
      </c>
      <c r="K1037" s="16">
        <v>45180</v>
      </c>
      <c r="L1037" s="17">
        <v>145000</v>
      </c>
      <c r="M1037" s="17">
        <v>145000</v>
      </c>
      <c r="N1037" s="18">
        <v>145000</v>
      </c>
      <c r="O1037" s="15" t="s">
        <v>23</v>
      </c>
      <c r="Q1037" s="13">
        <v>11203</v>
      </c>
      <c r="R1037" s="13" t="s">
        <v>1462</v>
      </c>
      <c r="S1037" s="13" t="s">
        <v>138</v>
      </c>
      <c r="T1037" s="13" t="s">
        <v>16</v>
      </c>
      <c r="U1037" s="17">
        <f t="shared" si="33"/>
        <v>0</v>
      </c>
    </row>
    <row r="1038" spans="1:21" x14ac:dyDescent="0.3">
      <c r="A1038" s="13">
        <v>286</v>
      </c>
      <c r="B1038" s="13" t="str">
        <f>+VLOOKUP(A1038,'[1]PA 2023'!$A$8:$E$84,5)</f>
        <v>Mantener el beneficio al 100% de los ediles con pago de EPS, ARL, póliza de vida y dotación.</v>
      </c>
      <c r="C1038" s="14">
        <v>2022680010029</v>
      </c>
      <c r="D1038" s="14" t="str">
        <f>+VLOOKUP(C1038,'[1]PA 2023'!$G$8:$H$84,2,FALSE)</f>
        <v>FORTALECIMIENTO DE LA PARTICIPACIÓN CIUDADANA EN EL MUNICIPIO DE BUCARAMANGA</v>
      </c>
      <c r="E1038" s="13" t="s">
        <v>2096</v>
      </c>
      <c r="F1038" s="15" t="s">
        <v>22</v>
      </c>
      <c r="G1038" s="22" t="s">
        <v>23</v>
      </c>
      <c r="H1038" s="21" t="s">
        <v>23</v>
      </c>
      <c r="I1038" s="13" t="s">
        <v>139</v>
      </c>
      <c r="J1038" s="13" t="s">
        <v>1603</v>
      </c>
      <c r="K1038" s="16">
        <v>45180</v>
      </c>
      <c r="L1038" s="17">
        <v>870000</v>
      </c>
      <c r="M1038" s="17">
        <v>870000</v>
      </c>
      <c r="N1038" s="18">
        <v>870000</v>
      </c>
      <c r="O1038" s="15" t="s">
        <v>23</v>
      </c>
      <c r="Q1038" s="13">
        <v>11204</v>
      </c>
      <c r="R1038" s="13" t="s">
        <v>1462</v>
      </c>
      <c r="S1038" s="13" t="s">
        <v>140</v>
      </c>
      <c r="T1038" s="13" t="s">
        <v>16</v>
      </c>
      <c r="U1038" s="17">
        <f t="shared" si="33"/>
        <v>0</v>
      </c>
    </row>
    <row r="1039" spans="1:21" x14ac:dyDescent="0.3">
      <c r="A1039" s="13">
        <v>286</v>
      </c>
      <c r="B1039" s="13" t="str">
        <f>+VLOOKUP(A1039,'[1]PA 2023'!$A$8:$E$84,5)</f>
        <v>Mantener el beneficio al 100% de los ediles con pago de EPS, ARL, póliza de vida y dotación.</v>
      </c>
      <c r="C1039" s="14">
        <v>2022680010029</v>
      </c>
      <c r="D1039" s="14" t="str">
        <f>+VLOOKUP(C1039,'[1]PA 2023'!$G$8:$H$84,2,FALSE)</f>
        <v>FORTALECIMIENTO DE LA PARTICIPACIÓN CIUDADANA EN EL MUNICIPIO DE BUCARAMANGA</v>
      </c>
      <c r="E1039" s="13" t="s">
        <v>2096</v>
      </c>
      <c r="F1039" s="15" t="s">
        <v>22</v>
      </c>
      <c r="G1039" s="22" t="s">
        <v>23</v>
      </c>
      <c r="H1039" s="21" t="s">
        <v>23</v>
      </c>
      <c r="I1039" s="13" t="s">
        <v>139</v>
      </c>
      <c r="J1039" s="13" t="s">
        <v>1603</v>
      </c>
      <c r="K1039" s="16">
        <v>45180</v>
      </c>
      <c r="L1039" s="17">
        <v>435000</v>
      </c>
      <c r="M1039" s="17">
        <v>435000</v>
      </c>
      <c r="N1039" s="18">
        <v>435000</v>
      </c>
      <c r="O1039" s="15" t="s">
        <v>23</v>
      </c>
      <c r="Q1039" s="13">
        <v>11205</v>
      </c>
      <c r="R1039" s="13" t="s">
        <v>1462</v>
      </c>
      <c r="S1039" s="13" t="s">
        <v>140</v>
      </c>
      <c r="T1039" s="13" t="s">
        <v>16</v>
      </c>
      <c r="U1039" s="17">
        <f t="shared" si="33"/>
        <v>0</v>
      </c>
    </row>
    <row r="1040" spans="1:21" x14ac:dyDescent="0.3">
      <c r="A1040" s="13">
        <v>286</v>
      </c>
      <c r="B1040" s="13" t="str">
        <f>+VLOOKUP(A1040,'[1]PA 2023'!$A$8:$E$84,5)</f>
        <v>Mantener el beneficio al 100% de los ediles con pago de EPS, ARL, póliza de vida y dotación.</v>
      </c>
      <c r="C1040" s="14">
        <v>2022680010029</v>
      </c>
      <c r="D1040" s="14" t="str">
        <f>+VLOOKUP(C1040,'[1]PA 2023'!$G$8:$H$84,2,FALSE)</f>
        <v>FORTALECIMIENTO DE LA PARTICIPACIÓN CIUDADANA EN EL MUNICIPIO DE BUCARAMANGA</v>
      </c>
      <c r="E1040" s="13" t="s">
        <v>2096</v>
      </c>
      <c r="F1040" s="15" t="s">
        <v>22</v>
      </c>
      <c r="G1040" s="22" t="s">
        <v>23</v>
      </c>
      <c r="H1040" s="21" t="s">
        <v>23</v>
      </c>
      <c r="I1040" s="13" t="s">
        <v>141</v>
      </c>
      <c r="J1040" s="13" t="s">
        <v>1603</v>
      </c>
      <c r="K1040" s="16">
        <v>45180</v>
      </c>
      <c r="L1040" s="17">
        <v>1740000</v>
      </c>
      <c r="M1040" s="17">
        <v>1740000</v>
      </c>
      <c r="N1040" s="18">
        <v>1740000</v>
      </c>
      <c r="O1040" s="15" t="s">
        <v>23</v>
      </c>
      <c r="Q1040" s="13">
        <v>11206</v>
      </c>
      <c r="R1040" s="13" t="s">
        <v>1462</v>
      </c>
      <c r="S1040" s="13" t="s">
        <v>142</v>
      </c>
      <c r="T1040" s="13" t="s">
        <v>16</v>
      </c>
      <c r="U1040" s="17">
        <f t="shared" si="33"/>
        <v>0</v>
      </c>
    </row>
    <row r="1041" spans="1:21" x14ac:dyDescent="0.3">
      <c r="A1041" s="13">
        <v>286</v>
      </c>
      <c r="B1041" s="13" t="str">
        <f>+VLOOKUP(A1041,'[1]PA 2023'!$A$8:$E$84,5)</f>
        <v>Mantener el beneficio al 100% de los ediles con pago de EPS, ARL, póliza de vida y dotación.</v>
      </c>
      <c r="C1041" s="14">
        <v>2022680010029</v>
      </c>
      <c r="D1041" s="14" t="str">
        <f>+VLOOKUP(C1041,'[1]PA 2023'!$G$8:$H$84,2,FALSE)</f>
        <v>FORTALECIMIENTO DE LA PARTICIPACIÓN CIUDADANA EN EL MUNICIPIO DE BUCARAMANGA</v>
      </c>
      <c r="E1041" s="13" t="s">
        <v>2096</v>
      </c>
      <c r="F1041" s="15" t="s">
        <v>22</v>
      </c>
      <c r="G1041" s="22" t="s">
        <v>23</v>
      </c>
      <c r="H1041" s="21" t="s">
        <v>23</v>
      </c>
      <c r="I1041" s="13" t="s">
        <v>143</v>
      </c>
      <c r="J1041" s="13" t="s">
        <v>1603</v>
      </c>
      <c r="K1041" s="16">
        <v>45180</v>
      </c>
      <c r="L1041" s="17">
        <v>1160000</v>
      </c>
      <c r="M1041" s="17">
        <v>1160000</v>
      </c>
      <c r="N1041" s="18">
        <v>1160000</v>
      </c>
      <c r="O1041" s="15" t="s">
        <v>23</v>
      </c>
      <c r="Q1041" s="13">
        <v>11207</v>
      </c>
      <c r="R1041" s="13" t="s">
        <v>1462</v>
      </c>
      <c r="S1041" s="13" t="s">
        <v>144</v>
      </c>
      <c r="T1041" s="13" t="s">
        <v>16</v>
      </c>
      <c r="U1041" s="17">
        <f t="shared" si="33"/>
        <v>0</v>
      </c>
    </row>
    <row r="1042" spans="1:21" x14ac:dyDescent="0.3">
      <c r="A1042" s="13">
        <v>286</v>
      </c>
      <c r="B1042" s="13" t="str">
        <f>+VLOOKUP(A1042,'[1]PA 2023'!$A$8:$E$84,5)</f>
        <v>Mantener el beneficio al 100% de los ediles con pago de EPS, ARL, póliza de vida y dotación.</v>
      </c>
      <c r="C1042" s="14">
        <v>2022680010029</v>
      </c>
      <c r="D1042" s="14" t="str">
        <f>+VLOOKUP(C1042,'[1]PA 2023'!$G$8:$H$84,2,FALSE)</f>
        <v>FORTALECIMIENTO DE LA PARTICIPACIÓN CIUDADANA EN EL MUNICIPIO DE BUCARAMANGA</v>
      </c>
      <c r="E1042" s="13" t="s">
        <v>2096</v>
      </c>
      <c r="F1042" s="15" t="s">
        <v>22</v>
      </c>
      <c r="G1042" s="22" t="s">
        <v>23</v>
      </c>
      <c r="H1042" s="21" t="s">
        <v>23</v>
      </c>
      <c r="I1042" s="13" t="s">
        <v>145</v>
      </c>
      <c r="J1042" s="13" t="s">
        <v>1603</v>
      </c>
      <c r="K1042" s="16">
        <v>45180</v>
      </c>
      <c r="L1042" s="17">
        <v>580000</v>
      </c>
      <c r="M1042" s="17">
        <v>580000</v>
      </c>
      <c r="N1042" s="18">
        <v>580000</v>
      </c>
      <c r="O1042" s="15" t="s">
        <v>23</v>
      </c>
      <c r="Q1042" s="13">
        <v>11208</v>
      </c>
      <c r="R1042" s="13" t="s">
        <v>1462</v>
      </c>
      <c r="S1042" s="13" t="s">
        <v>146</v>
      </c>
      <c r="T1042" s="13" t="s">
        <v>16</v>
      </c>
      <c r="U1042" s="17">
        <f t="shared" si="33"/>
        <v>0</v>
      </c>
    </row>
    <row r="1043" spans="1:21" x14ac:dyDescent="0.3">
      <c r="A1043" s="13">
        <v>286</v>
      </c>
      <c r="B1043" s="13" t="str">
        <f>+VLOOKUP(A1043,'[1]PA 2023'!$A$8:$E$84,5)</f>
        <v>Mantener el beneficio al 100% de los ediles con pago de EPS, ARL, póliza de vida y dotación.</v>
      </c>
      <c r="C1043" s="14">
        <v>2022680010029</v>
      </c>
      <c r="D1043" s="14" t="str">
        <f>+VLOOKUP(C1043,'[1]PA 2023'!$G$8:$H$84,2,FALSE)</f>
        <v>FORTALECIMIENTO DE LA PARTICIPACIÓN CIUDADANA EN EL MUNICIPIO DE BUCARAMANGA</v>
      </c>
      <c r="E1043" s="13" t="s">
        <v>2096</v>
      </c>
      <c r="F1043" s="15" t="s">
        <v>22</v>
      </c>
      <c r="G1043" s="22" t="s">
        <v>23</v>
      </c>
      <c r="H1043" s="21" t="s">
        <v>23</v>
      </c>
      <c r="I1043" s="13" t="s">
        <v>147</v>
      </c>
      <c r="J1043" s="13" t="s">
        <v>1603</v>
      </c>
      <c r="K1043" s="16">
        <v>45180</v>
      </c>
      <c r="L1043" s="17">
        <v>4495000</v>
      </c>
      <c r="M1043" s="17">
        <v>4495000</v>
      </c>
      <c r="N1043" s="18">
        <v>4495000</v>
      </c>
      <c r="O1043" s="15" t="s">
        <v>23</v>
      </c>
      <c r="Q1043" s="13">
        <v>11209</v>
      </c>
      <c r="R1043" s="13" t="s">
        <v>1462</v>
      </c>
      <c r="S1043" s="13" t="s">
        <v>148</v>
      </c>
      <c r="T1043" s="13" t="s">
        <v>16</v>
      </c>
      <c r="U1043" s="17">
        <f t="shared" si="33"/>
        <v>0</v>
      </c>
    </row>
    <row r="1044" spans="1:21" x14ac:dyDescent="0.3">
      <c r="A1044" s="13">
        <v>286</v>
      </c>
      <c r="B1044" s="13" t="str">
        <f>+VLOOKUP(A1044,'[1]PA 2023'!$A$8:$E$84,5)</f>
        <v>Mantener el beneficio al 100% de los ediles con pago de EPS, ARL, póliza de vida y dotación.</v>
      </c>
      <c r="C1044" s="14">
        <v>2022680010029</v>
      </c>
      <c r="D1044" s="14" t="str">
        <f>+VLOOKUP(C1044,'[1]PA 2023'!$G$8:$H$84,2,FALSE)</f>
        <v>FORTALECIMIENTO DE LA PARTICIPACIÓN CIUDADANA EN EL MUNICIPIO DE BUCARAMANGA</v>
      </c>
      <c r="E1044" s="13" t="s">
        <v>2096</v>
      </c>
      <c r="F1044" s="15" t="s">
        <v>22</v>
      </c>
      <c r="G1044" s="22" t="s">
        <v>23</v>
      </c>
      <c r="H1044" s="21" t="s">
        <v>23</v>
      </c>
      <c r="I1044" s="13" t="s">
        <v>147</v>
      </c>
      <c r="J1044" s="13" t="s">
        <v>1603</v>
      </c>
      <c r="K1044" s="16">
        <v>45180</v>
      </c>
      <c r="L1044" s="17">
        <v>725000</v>
      </c>
      <c r="M1044" s="17">
        <v>725000</v>
      </c>
      <c r="N1044" s="18">
        <v>725000</v>
      </c>
      <c r="O1044" s="15" t="s">
        <v>23</v>
      </c>
      <c r="Q1044" s="13">
        <v>11210</v>
      </c>
      <c r="R1044" s="13" t="s">
        <v>1462</v>
      </c>
      <c r="S1044" s="13" t="s">
        <v>148</v>
      </c>
      <c r="T1044" s="13" t="s">
        <v>16</v>
      </c>
      <c r="U1044" s="17">
        <f t="shared" si="33"/>
        <v>0</v>
      </c>
    </row>
    <row r="1045" spans="1:21" x14ac:dyDescent="0.3">
      <c r="A1045" s="13">
        <v>286</v>
      </c>
      <c r="B1045" s="13" t="str">
        <f>+VLOOKUP(A1045,'[1]PA 2023'!$A$8:$E$84,5)</f>
        <v>Mantener el beneficio al 100% de los ediles con pago de EPS, ARL, póliza de vida y dotación.</v>
      </c>
      <c r="C1045" s="14">
        <v>2022680010029</v>
      </c>
      <c r="D1045" s="14" t="str">
        <f>+VLOOKUP(C1045,'[1]PA 2023'!$G$8:$H$84,2,FALSE)</f>
        <v>FORTALECIMIENTO DE LA PARTICIPACIÓN CIUDADANA EN EL MUNICIPIO DE BUCARAMANGA</v>
      </c>
      <c r="E1045" s="13" t="s">
        <v>2096</v>
      </c>
      <c r="F1045" s="15" t="s">
        <v>22</v>
      </c>
      <c r="G1045" s="22" t="s">
        <v>23</v>
      </c>
      <c r="H1045" s="21" t="s">
        <v>23</v>
      </c>
      <c r="I1045" s="13" t="s">
        <v>149</v>
      </c>
      <c r="J1045" s="13" t="s">
        <v>1603</v>
      </c>
      <c r="K1045" s="16">
        <v>45180</v>
      </c>
      <c r="L1045" s="17">
        <v>1015000</v>
      </c>
      <c r="M1045" s="17">
        <v>1015000</v>
      </c>
      <c r="N1045" s="18">
        <v>1015000</v>
      </c>
      <c r="O1045" s="15" t="s">
        <v>23</v>
      </c>
      <c r="Q1045" s="13">
        <v>11211</v>
      </c>
      <c r="R1045" s="13" t="s">
        <v>1462</v>
      </c>
      <c r="S1045" s="13" t="s">
        <v>150</v>
      </c>
      <c r="T1045" s="13" t="s">
        <v>16</v>
      </c>
      <c r="U1045" s="17">
        <f t="shared" si="33"/>
        <v>0</v>
      </c>
    </row>
    <row r="1046" spans="1:21" x14ac:dyDescent="0.3">
      <c r="A1046" s="13">
        <v>286</v>
      </c>
      <c r="B1046" s="13" t="str">
        <f>+VLOOKUP(A1046,'[1]PA 2023'!$A$8:$E$84,5)</f>
        <v>Mantener el beneficio al 100% de los ediles con pago de EPS, ARL, póliza de vida y dotación.</v>
      </c>
      <c r="C1046" s="14">
        <v>2022680010029</v>
      </c>
      <c r="D1046" s="14" t="str">
        <f>+VLOOKUP(C1046,'[1]PA 2023'!$G$8:$H$84,2,FALSE)</f>
        <v>FORTALECIMIENTO DE LA PARTICIPACIÓN CIUDADANA EN EL MUNICIPIO DE BUCARAMANGA</v>
      </c>
      <c r="E1046" s="13" t="s">
        <v>2096</v>
      </c>
      <c r="F1046" s="15" t="s">
        <v>22</v>
      </c>
      <c r="G1046" s="22" t="s">
        <v>23</v>
      </c>
      <c r="H1046" s="21" t="s">
        <v>23</v>
      </c>
      <c r="I1046" s="13" t="s">
        <v>151</v>
      </c>
      <c r="J1046" s="13" t="s">
        <v>1603</v>
      </c>
      <c r="K1046" s="16">
        <v>45180</v>
      </c>
      <c r="L1046" s="17">
        <v>3335000</v>
      </c>
      <c r="M1046" s="17">
        <v>3335000</v>
      </c>
      <c r="N1046" s="18">
        <v>3335000</v>
      </c>
      <c r="O1046" s="15" t="s">
        <v>23</v>
      </c>
      <c r="Q1046" s="13">
        <v>11212</v>
      </c>
      <c r="R1046" s="13" t="s">
        <v>1462</v>
      </c>
      <c r="S1046" s="13" t="s">
        <v>152</v>
      </c>
      <c r="T1046" s="13" t="s">
        <v>16</v>
      </c>
      <c r="U1046" s="17">
        <f t="shared" si="33"/>
        <v>0</v>
      </c>
    </row>
    <row r="1047" spans="1:21" x14ac:dyDescent="0.3">
      <c r="A1047" s="13">
        <v>286</v>
      </c>
      <c r="B1047" s="13" t="str">
        <f>+VLOOKUP(A1047,'[1]PA 2023'!$A$8:$E$84,5)</f>
        <v>Mantener el beneficio al 100% de los ediles con pago de EPS, ARL, póliza de vida y dotación.</v>
      </c>
      <c r="C1047" s="14">
        <v>2022680010029</v>
      </c>
      <c r="D1047" s="14" t="str">
        <f>+VLOOKUP(C1047,'[1]PA 2023'!$G$8:$H$84,2,FALSE)</f>
        <v>FORTALECIMIENTO DE LA PARTICIPACIÓN CIUDADANA EN EL MUNICIPIO DE BUCARAMANGA</v>
      </c>
      <c r="E1047" s="13" t="s">
        <v>2096</v>
      </c>
      <c r="F1047" s="15" t="s">
        <v>22</v>
      </c>
      <c r="G1047" s="22" t="s">
        <v>23</v>
      </c>
      <c r="H1047" s="21" t="s">
        <v>23</v>
      </c>
      <c r="I1047" s="13" t="s">
        <v>153</v>
      </c>
      <c r="J1047" s="13" t="s">
        <v>1603</v>
      </c>
      <c r="K1047" s="16">
        <v>45180</v>
      </c>
      <c r="L1047" s="17">
        <v>2610000</v>
      </c>
      <c r="M1047" s="17">
        <v>2610000</v>
      </c>
      <c r="N1047" s="18">
        <v>2610000</v>
      </c>
      <c r="O1047" s="15" t="s">
        <v>23</v>
      </c>
      <c r="Q1047" s="13">
        <v>11213</v>
      </c>
      <c r="R1047" s="13" t="s">
        <v>1462</v>
      </c>
      <c r="S1047" s="13" t="s">
        <v>154</v>
      </c>
      <c r="T1047" s="13" t="s">
        <v>16</v>
      </c>
      <c r="U1047" s="17">
        <f t="shared" si="33"/>
        <v>0</v>
      </c>
    </row>
    <row r="1048" spans="1:21" x14ac:dyDescent="0.3">
      <c r="A1048" s="13">
        <v>112</v>
      </c>
      <c r="B1048" s="13" t="str">
        <f>+VLOOKUP(A1048,'[1]PA 2023'!$A$8:$E$84,5)</f>
        <v>Mantener a 284 habitantes de calle con atención integral en la cual se incluya la prestación de servicios básicos.</v>
      </c>
      <c r="C1048" s="14">
        <v>2020680010050</v>
      </c>
      <c r="D1048" s="14" t="str">
        <f>+VLOOKUP(C1048,'[1]PA 2023'!$G$8:$H$84,2,FALSE)</f>
        <v>DESARROLLO DE ACCIONES ENCAMINADAS A GENERAR ATENCIÓN INTEGRAL HACIA LA POBLACIÓN HABITANTES EN SITUACIÓN DE CALLE DEL MUNICIPIO DE BUCARAMANGA</v>
      </c>
      <c r="E1048" s="13" t="s">
        <v>2097</v>
      </c>
      <c r="F1048" s="15">
        <v>226</v>
      </c>
      <c r="G1048" s="22" t="s">
        <v>1949</v>
      </c>
      <c r="H1048" s="21" t="s">
        <v>1901</v>
      </c>
      <c r="I1048" s="13" t="s">
        <v>179</v>
      </c>
      <c r="J1048" s="13" t="s">
        <v>1902</v>
      </c>
      <c r="K1048" s="16">
        <v>45180</v>
      </c>
      <c r="L1048" s="17">
        <v>187893824</v>
      </c>
      <c r="M1048" s="17">
        <v>187893824</v>
      </c>
      <c r="N1048" s="18">
        <v>0</v>
      </c>
      <c r="O1048" s="22" t="s">
        <v>2098</v>
      </c>
      <c r="Q1048" s="13">
        <v>11223</v>
      </c>
      <c r="R1048" s="13" t="s">
        <v>1903</v>
      </c>
      <c r="S1048" s="13" t="s">
        <v>182</v>
      </c>
      <c r="T1048" s="13" t="s">
        <v>16</v>
      </c>
      <c r="U1048" s="17">
        <f t="shared" si="33"/>
        <v>187893824</v>
      </c>
    </row>
    <row r="1049" spans="1:21" x14ac:dyDescent="0.3">
      <c r="A1049" s="13">
        <v>93</v>
      </c>
      <c r="B1049" s="13" t="str">
        <f>+VLOOKUP(A1049,'[1]PA 2023'!$A$8:$E$84,5)</f>
        <v>Mantener en funcionamiento los 3 Centros Vida con la prestacion de servicios integrales y/o dotacion de los mismos cumpliendo con la oferta institucional.</v>
      </c>
      <c r="C1049" s="14">
        <v>2020680010040</v>
      </c>
      <c r="D1049" s="14" t="str">
        <f>+VLOOKUP(C1049,'[1]PA 2023'!$G$8:$H$84,2,FALSE)</f>
        <v>IMPLEMENTACIÓN DE ACCIONES TENDIENTES A MEJORAR LAS CONDICIONES DE LOS ADULTOS MAYORES DEL MUNICIPIO DE BUCARAMANGA</v>
      </c>
      <c r="E1049" s="13" t="s">
        <v>2099</v>
      </c>
      <c r="F1049" s="15" t="s">
        <v>22</v>
      </c>
      <c r="G1049" s="22" t="s">
        <v>23</v>
      </c>
      <c r="H1049" s="21" t="s">
        <v>23</v>
      </c>
      <c r="I1049" s="13" t="s">
        <v>32</v>
      </c>
      <c r="J1049" s="13" t="s">
        <v>25</v>
      </c>
      <c r="K1049" s="16">
        <v>45180</v>
      </c>
      <c r="L1049" s="17">
        <v>46749</v>
      </c>
      <c r="M1049" s="17">
        <v>46749</v>
      </c>
      <c r="N1049" s="18">
        <v>46749</v>
      </c>
      <c r="O1049" s="15" t="s">
        <v>23</v>
      </c>
      <c r="Q1049" s="13">
        <v>11229</v>
      </c>
      <c r="R1049" s="13" t="s">
        <v>26</v>
      </c>
      <c r="S1049" s="13" t="s">
        <v>33</v>
      </c>
      <c r="T1049" s="13" t="s">
        <v>16</v>
      </c>
      <c r="U1049" s="17">
        <f t="shared" si="33"/>
        <v>0</v>
      </c>
    </row>
    <row r="1050" spans="1:21" x14ac:dyDescent="0.3">
      <c r="A1050" s="13">
        <v>71</v>
      </c>
      <c r="B1050" s="13" t="str">
        <f>+VLOOKUP(A1050,'[1]PA 2023'!$A$8:$E$84,5)</f>
        <v>Formular e implementar 1 estrategia de corresponsabilidad en la garantía de derechos, la prevención de vulneración, amenaza o riesgo en el ámbito familiar, comunitario e institucional.</v>
      </c>
      <c r="C1050" s="14">
        <v>2022680010056</v>
      </c>
      <c r="D1050" s="14" t="str">
        <f>+VLOOKUP(C1050,'[1]PA 2023'!$G$8:$H$84,2,FALSE)</f>
        <v>APOYO EN LOS PROCESOS DE ATENCIÓN INTEGRAL DE LOS NIÑOS Y NIÑAS EN EL ESPACIO DE CUIDADO Y ALBERGUE "CASA BÚHO" EN EL MUNICIPIO DE BUCARAMANGA</v>
      </c>
      <c r="E1050" s="13" t="s">
        <v>2100</v>
      </c>
      <c r="F1050" s="15" t="s">
        <v>22</v>
      </c>
      <c r="G1050" s="22" t="s">
        <v>23</v>
      </c>
      <c r="H1050" s="21" t="s">
        <v>23</v>
      </c>
      <c r="I1050" s="13" t="s">
        <v>29</v>
      </c>
      <c r="J1050" s="13" t="s">
        <v>970</v>
      </c>
      <c r="K1050" s="16">
        <v>45181</v>
      </c>
      <c r="L1050" s="17">
        <v>32780</v>
      </c>
      <c r="M1050" s="17">
        <v>32780</v>
      </c>
      <c r="N1050" s="18">
        <v>32780</v>
      </c>
      <c r="O1050" s="15" t="s">
        <v>23</v>
      </c>
      <c r="Q1050" s="13">
        <v>11278</v>
      </c>
      <c r="R1050" s="13" t="s">
        <v>170</v>
      </c>
      <c r="S1050" s="13" t="s">
        <v>30</v>
      </c>
      <c r="T1050" s="13" t="s">
        <v>16</v>
      </c>
      <c r="U1050" s="17">
        <f t="shared" si="33"/>
        <v>0</v>
      </c>
    </row>
    <row r="1051" spans="1:21" x14ac:dyDescent="0.3">
      <c r="A1051" s="13">
        <v>285</v>
      </c>
      <c r="B1051" s="13" t="str">
        <f>+VLOOKUP(A1051,'[1]PA 2023'!$A$8:$E$84,5)</f>
        <v>Mantener en funcionamiento el 100% de los salones comunales que hacen parte del programa Ágoras.</v>
      </c>
      <c r="C1051" s="14">
        <v>2022680010029</v>
      </c>
      <c r="D1051" s="14" t="str">
        <f>+VLOOKUP(C1051,'[1]PA 2023'!$G$8:$H$84,2,FALSE)</f>
        <v>FORTALECIMIENTO DE LA PARTICIPACIÓN CIUDADANA EN EL MUNICIPIO DE BUCARAMANGA</v>
      </c>
      <c r="E1051" s="13" t="s">
        <v>2101</v>
      </c>
      <c r="F1051" s="15" t="s">
        <v>22</v>
      </c>
      <c r="G1051" s="22" t="s">
        <v>23</v>
      </c>
      <c r="H1051" s="21" t="s">
        <v>23</v>
      </c>
      <c r="I1051" s="13" t="s">
        <v>901</v>
      </c>
      <c r="J1051" s="13" t="s">
        <v>1130</v>
      </c>
      <c r="K1051" s="16">
        <v>45183</v>
      </c>
      <c r="L1051" s="17">
        <v>84585</v>
      </c>
      <c r="M1051" s="17">
        <v>84585</v>
      </c>
      <c r="N1051" s="18">
        <v>84585</v>
      </c>
      <c r="O1051" s="15" t="s">
        <v>23</v>
      </c>
      <c r="Q1051" s="13">
        <v>11363</v>
      </c>
      <c r="R1051" s="13" t="s">
        <v>134</v>
      </c>
      <c r="S1051" s="13" t="s">
        <v>902</v>
      </c>
      <c r="T1051" s="13" t="s">
        <v>16</v>
      </c>
      <c r="U1051" s="17">
        <f t="shared" si="33"/>
        <v>0</v>
      </c>
    </row>
    <row r="1052" spans="1:21" x14ac:dyDescent="0.3">
      <c r="A1052" s="13">
        <v>102</v>
      </c>
      <c r="B1052" s="13" t="str">
        <f>+VLOOKUP(A1052,'[1]PA 2023'!$A$8:$E$84,5)</f>
        <v>Mantener y fortalecer la ruta de atención a víctimas de acoso sexual y violencia de género a través redes comunitarias de prevención en zonas priorizadas del área rural y urbana de la ciudad y consolidación de alianzas con otras entidades.</v>
      </c>
      <c r="C1052" s="14">
        <v>2020680010106</v>
      </c>
      <c r="D1052" s="14" t="str">
        <f>+VLOOKUP(C1052,'[1]PA 2023'!$G$8:$H$84,2,FALSE)</f>
        <v>FORTALECIMIENTO DE ESPACIOS DE PARTICIPACIÓN Y PREVENCIÓN DE VIOLENCIAS EN MUJERES Y POBLACIÓN CON ORIENTACIONES SEXUALES E IDENTIDADES DE GÉNERO DIVERSAS DEL MUNICIPIO DE BUCARAMANGA</v>
      </c>
      <c r="E1052" s="13" t="s">
        <v>2102</v>
      </c>
      <c r="F1052" s="15">
        <v>233</v>
      </c>
      <c r="G1052" s="22" t="s">
        <v>1949</v>
      </c>
      <c r="H1052" s="21" t="s">
        <v>1901</v>
      </c>
      <c r="I1052" s="13" t="s">
        <v>2103</v>
      </c>
      <c r="J1052" s="13" t="s">
        <v>378</v>
      </c>
      <c r="K1052" s="16">
        <v>45184</v>
      </c>
      <c r="L1052" s="17">
        <v>45000000</v>
      </c>
      <c r="M1052" s="17">
        <v>45000000</v>
      </c>
      <c r="N1052" s="18">
        <v>0</v>
      </c>
      <c r="O1052" s="22" t="s">
        <v>2104</v>
      </c>
      <c r="Q1052" s="13">
        <v>11415</v>
      </c>
      <c r="R1052" s="13" t="s">
        <v>380</v>
      </c>
      <c r="S1052" s="13" t="s">
        <v>2105</v>
      </c>
      <c r="T1052" s="13" t="s">
        <v>16</v>
      </c>
      <c r="U1052" s="17">
        <f t="shared" si="33"/>
        <v>45000000</v>
      </c>
    </row>
    <row r="1053" spans="1:21" x14ac:dyDescent="0.3">
      <c r="A1053" s="13">
        <v>107</v>
      </c>
      <c r="B1053" s="13" t="str">
        <f>+VLOOKUP(A1053,'[1]PA 2023'!$A$8:$E$84,5)</f>
        <v>Formular e implementar 1 política pública para la población con orientación sexual e identidad de género diversa.</v>
      </c>
      <c r="C1053" s="14">
        <v>2020680010106</v>
      </c>
      <c r="D1053" s="14" t="str">
        <f>+VLOOKUP(C1053,'[1]PA 2023'!$G$8:$H$84,2,FALSE)</f>
        <v>FORTALECIMIENTO DE ESPACIOS DE PARTICIPACIÓN Y PREVENCIÓN DE VIOLENCIAS EN MUJERES Y POBLACIÓN CON ORIENTACIONES SEXUALES E IDENTIDADES DE GÉNERO DIVERSAS DEL MUNICIPIO DE BUCARAMANGA</v>
      </c>
      <c r="E1053" s="13" t="s">
        <v>2102</v>
      </c>
      <c r="F1053" s="15">
        <v>234</v>
      </c>
      <c r="G1053" s="22" t="s">
        <v>1949</v>
      </c>
      <c r="H1053" s="21" t="s">
        <v>1901</v>
      </c>
      <c r="I1053" s="13" t="s">
        <v>2103</v>
      </c>
      <c r="J1053" s="13" t="s">
        <v>378</v>
      </c>
      <c r="K1053" s="16">
        <v>45184</v>
      </c>
      <c r="L1053" s="17">
        <v>45000000</v>
      </c>
      <c r="M1053" s="17">
        <v>45000000</v>
      </c>
      <c r="N1053" s="18">
        <v>0</v>
      </c>
      <c r="O1053" s="22" t="s">
        <v>2104</v>
      </c>
      <c r="Q1053" s="13">
        <v>11416</v>
      </c>
      <c r="R1053" s="13" t="s">
        <v>380</v>
      </c>
      <c r="S1053" s="13" t="s">
        <v>2105</v>
      </c>
      <c r="T1053" s="13" t="s">
        <v>16</v>
      </c>
      <c r="U1053" s="17">
        <f t="shared" si="33"/>
        <v>45000000</v>
      </c>
    </row>
    <row r="1054" spans="1:21" x14ac:dyDescent="0.3">
      <c r="A1054" s="13">
        <v>93</v>
      </c>
      <c r="B1054" s="13" t="str">
        <f>+VLOOKUP(A1054,'[1]PA 2023'!$A$8:$E$84,5)</f>
        <v>Mantener en funcionamiento los 3 Centros Vida con la prestacion de servicios integrales y/o dotacion de los mismos cumpliendo con la oferta institucional.</v>
      </c>
      <c r="C1054" s="14">
        <v>2020680010040</v>
      </c>
      <c r="D1054" s="14" t="str">
        <f>+VLOOKUP(C1054,'[1]PA 2023'!$G$8:$H$84,2,FALSE)</f>
        <v>IMPLEMENTACIÓN DE ACCIONES TENDIENTES A MEJORAR LAS CONDICIONES DE LOS ADULTOS MAYORES DEL MUNICIPIO DE BUCARAMANGA</v>
      </c>
      <c r="E1054" s="13" t="s">
        <v>2106</v>
      </c>
      <c r="F1054" s="15">
        <v>3615</v>
      </c>
      <c r="G1054" s="21" t="s">
        <v>43</v>
      </c>
      <c r="H1054" s="21" t="s">
        <v>36</v>
      </c>
      <c r="I1054" s="13" t="s">
        <v>2107</v>
      </c>
      <c r="J1054" s="13" t="s">
        <v>372</v>
      </c>
      <c r="K1054" s="16">
        <v>45184</v>
      </c>
      <c r="L1054" s="17">
        <v>15600000</v>
      </c>
      <c r="M1054" s="17">
        <v>15600000</v>
      </c>
      <c r="N1054" s="18">
        <v>0</v>
      </c>
      <c r="O1054" s="22" t="s">
        <v>2108</v>
      </c>
      <c r="Q1054" s="13">
        <v>11418</v>
      </c>
      <c r="R1054" s="13" t="s">
        <v>374</v>
      </c>
      <c r="S1054" s="13" t="s">
        <v>2109</v>
      </c>
      <c r="T1054" s="13" t="s">
        <v>16</v>
      </c>
      <c r="U1054" s="17">
        <f t="shared" si="33"/>
        <v>15600000</v>
      </c>
    </row>
    <row r="1055" spans="1:21" x14ac:dyDescent="0.3">
      <c r="A1055" s="13">
        <v>106</v>
      </c>
      <c r="B1055" s="13" t="str">
        <f>+VLOOKUP(A1055,'[1]PA 2023'!$A$8:$E$84,5)</f>
        <v>Actualizar e implementar la Política Pública de Mujer.</v>
      </c>
      <c r="C1055" s="14">
        <v>2023680010015</v>
      </c>
      <c r="D1055" s="14" t="str">
        <f>+VLOOKUP(C1055,'[1]PA 2023'!$G$8:$H$84,2,FALSE)</f>
        <v>FORTALECIMIENTO DE ACCIONES ORIENTADAS AL CIERRE DE BRECHAS DE GÉNERO PARA MUJERES Y POBLACIÓN CON ORIENTACIONES SEXUALES E IDENTIDADES DE GÉNERO DIVERSAS DEL MUNICIPIO DE BUCARAMANGA</v>
      </c>
      <c r="E1055" s="13" t="s">
        <v>2110</v>
      </c>
      <c r="F1055" s="15">
        <v>240</v>
      </c>
      <c r="G1055" s="22" t="s">
        <v>1165</v>
      </c>
      <c r="H1055" s="21" t="s">
        <v>1165</v>
      </c>
      <c r="I1055" s="13" t="s">
        <v>158</v>
      </c>
      <c r="J1055" s="13" t="s">
        <v>2111</v>
      </c>
      <c r="K1055" s="16">
        <v>45188</v>
      </c>
      <c r="L1055" s="17">
        <v>40000000</v>
      </c>
      <c r="M1055" s="17">
        <v>20000000</v>
      </c>
      <c r="N1055" s="18">
        <v>0</v>
      </c>
      <c r="O1055" s="22" t="s">
        <v>2112</v>
      </c>
      <c r="Q1055" s="13">
        <v>11495</v>
      </c>
      <c r="R1055" s="13" t="s">
        <v>1465</v>
      </c>
      <c r="S1055" s="13" t="s">
        <v>162</v>
      </c>
      <c r="T1055" s="13" t="s">
        <v>16</v>
      </c>
      <c r="U1055" s="17">
        <f t="shared" si="33"/>
        <v>20000000</v>
      </c>
    </row>
    <row r="1056" spans="1:21" x14ac:dyDescent="0.3">
      <c r="A1056" s="13">
        <v>107</v>
      </c>
      <c r="B1056" s="13" t="str">
        <f>+VLOOKUP(A1056,'[1]PA 2023'!$A$8:$E$84,5)</f>
        <v>Formular e implementar 1 política pública para la población con orientación sexual e identidad de género diversa.</v>
      </c>
      <c r="C1056" s="14">
        <v>2023680010015</v>
      </c>
      <c r="D1056" s="14" t="str">
        <f>+VLOOKUP(C1056,'[1]PA 2023'!$G$8:$H$84,2,FALSE)</f>
        <v>FORTALECIMIENTO DE ACCIONES ORIENTADAS AL CIERRE DE BRECHAS DE GÉNERO PARA MUJERES Y POBLACIÓN CON ORIENTACIONES SEXUALES E IDENTIDADES DE GÉNERO DIVERSAS DEL MUNICIPIO DE BUCARAMANGA</v>
      </c>
      <c r="E1056" s="13" t="s">
        <v>2110</v>
      </c>
      <c r="F1056" s="15">
        <v>240</v>
      </c>
      <c r="G1056" s="22" t="s">
        <v>1165</v>
      </c>
      <c r="H1056" s="21" t="s">
        <v>1165</v>
      </c>
      <c r="I1056" s="13" t="s">
        <v>158</v>
      </c>
      <c r="J1056" s="13" t="s">
        <v>2111</v>
      </c>
      <c r="K1056" s="16">
        <v>45188</v>
      </c>
      <c r="L1056" s="17"/>
      <c r="M1056" s="17">
        <v>20000000</v>
      </c>
      <c r="N1056" s="18">
        <v>0</v>
      </c>
      <c r="O1056" s="22" t="s">
        <v>2112</v>
      </c>
      <c r="Q1056" s="13">
        <v>11495</v>
      </c>
      <c r="R1056" s="13" t="s">
        <v>1465</v>
      </c>
      <c r="S1056" s="13" t="s">
        <v>162</v>
      </c>
      <c r="T1056" s="13" t="s">
        <v>16</v>
      </c>
      <c r="U1056" s="17">
        <f t="shared" si="33"/>
        <v>20000000</v>
      </c>
    </row>
    <row r="1057" spans="1:21" x14ac:dyDescent="0.3">
      <c r="A1057" s="13">
        <v>93</v>
      </c>
      <c r="B1057" s="13" t="str">
        <f>+VLOOKUP(A1057,'[1]PA 2023'!$A$8:$E$84,5)</f>
        <v>Mantener en funcionamiento los 3 Centros Vida con la prestacion de servicios integrales y/o dotacion de los mismos cumpliendo con la oferta institucional.</v>
      </c>
      <c r="C1057" s="14">
        <v>2020680010040</v>
      </c>
      <c r="D1057" s="14" t="str">
        <f>+VLOOKUP(C1057,'[1]PA 2023'!$G$8:$H$84,2,FALSE)</f>
        <v>IMPLEMENTACIÓN DE ACCIONES TENDIENTES A MEJORAR LAS CONDICIONES DE LOS ADULTOS MAYORES DEL MUNICIPIO DE BUCARAMANGA</v>
      </c>
      <c r="E1057" s="13" t="s">
        <v>2113</v>
      </c>
      <c r="F1057" s="15" t="s">
        <v>22</v>
      </c>
      <c r="G1057" s="22" t="s">
        <v>23</v>
      </c>
      <c r="H1057" s="21" t="s">
        <v>23</v>
      </c>
      <c r="I1057" s="13" t="s">
        <v>470</v>
      </c>
      <c r="J1057" s="13" t="s">
        <v>25</v>
      </c>
      <c r="K1057" s="16">
        <v>45188</v>
      </c>
      <c r="L1057" s="17">
        <v>579198</v>
      </c>
      <c r="M1057" s="17">
        <v>579198</v>
      </c>
      <c r="N1057" s="18">
        <v>579198</v>
      </c>
      <c r="O1057" s="15" t="s">
        <v>23</v>
      </c>
      <c r="Q1057" s="13">
        <v>11496</v>
      </c>
      <c r="R1057" s="23" t="s">
        <v>26</v>
      </c>
      <c r="S1057" s="13" t="s">
        <v>471</v>
      </c>
      <c r="T1057" s="13" t="s">
        <v>16</v>
      </c>
      <c r="U1057" s="17">
        <f t="shared" si="33"/>
        <v>0</v>
      </c>
    </row>
    <row r="1058" spans="1:21" x14ac:dyDescent="0.3">
      <c r="A1058" s="13">
        <v>111</v>
      </c>
      <c r="B1058" s="13" t="str">
        <f>+VLOOKUP(A1058,'[1]PA 2023'!$A$8:$E$84,5)</f>
        <v xml:space="preserve">Mantener la identificación, caracterización y seguimiento de la situación de cada habitante de calle atendido por la Secretaría de Desarrollo Social. </v>
      </c>
      <c r="C1058" s="14">
        <v>2020680010050</v>
      </c>
      <c r="D1058" s="14" t="str">
        <f>+VLOOKUP(C1058,'[1]PA 2023'!$G$8:$H$84,2,FALSE)</f>
        <v>DESARROLLO DE ACCIONES ENCAMINADAS A GENERAR ATENCIÓN INTEGRAL HACIA LA POBLACIÓN HABITANTES EN SITUACIÓN DE CALLE DEL MUNICIPIO DE BUCARAMANGA</v>
      </c>
      <c r="E1058" s="13" t="s">
        <v>2113</v>
      </c>
      <c r="F1058" s="15" t="s">
        <v>22</v>
      </c>
      <c r="G1058" s="22" t="s">
        <v>23</v>
      </c>
      <c r="H1058" s="21" t="s">
        <v>23</v>
      </c>
      <c r="I1058" s="13" t="s">
        <v>470</v>
      </c>
      <c r="J1058" s="13" t="s">
        <v>768</v>
      </c>
      <c r="K1058" s="16">
        <v>45188</v>
      </c>
      <c r="L1058" s="17">
        <v>203801</v>
      </c>
      <c r="M1058" s="17">
        <v>203801</v>
      </c>
      <c r="N1058" s="18">
        <v>203801</v>
      </c>
      <c r="O1058" s="15" t="s">
        <v>23</v>
      </c>
      <c r="Q1058" s="13">
        <v>11496</v>
      </c>
      <c r="R1058" s="23" t="s">
        <v>770</v>
      </c>
      <c r="S1058" s="13" t="s">
        <v>471</v>
      </c>
      <c r="T1058" s="13" t="s">
        <v>16</v>
      </c>
      <c r="U1058" s="17">
        <f t="shared" si="33"/>
        <v>0</v>
      </c>
    </row>
    <row r="1059" spans="1:21" x14ac:dyDescent="0.3">
      <c r="A1059" s="13">
        <v>105</v>
      </c>
      <c r="B1059" s="13" t="str">
        <f>+VLOOKUP(A1059,'[1]PA 2023'!$A$8:$E$84,5)</f>
        <v>Mantener el Centro Integral de la Mujer a fin de garantizar el fortalecimiento de los procesos de atención y empoderamiento femenino.</v>
      </c>
      <c r="C1059" s="14">
        <v>2020680010106</v>
      </c>
      <c r="D1059" s="14" t="str">
        <f>+VLOOKUP(C1059,'[1]PA 2023'!$G$8:$H$84,2,FALSE)</f>
        <v>FORTALECIMIENTO DE ESPACIOS DE PARTICIPACIÓN Y PREVENCIÓN DE VIOLENCIAS EN MUJERES Y POBLACIÓN CON ORIENTACIONES SEXUALES E IDENTIDADES DE GÉNERO DIVERSAS DEL MUNICIPIO DE BUCARAMANGA</v>
      </c>
      <c r="E1059" s="13" t="s">
        <v>2113</v>
      </c>
      <c r="F1059" s="15" t="s">
        <v>22</v>
      </c>
      <c r="G1059" s="22" t="s">
        <v>23</v>
      </c>
      <c r="H1059" s="21" t="s">
        <v>23</v>
      </c>
      <c r="I1059" s="13" t="s">
        <v>470</v>
      </c>
      <c r="J1059" s="13" t="s">
        <v>378</v>
      </c>
      <c r="K1059" s="16">
        <v>45188</v>
      </c>
      <c r="L1059" s="17">
        <v>203801</v>
      </c>
      <c r="M1059" s="17">
        <v>203801</v>
      </c>
      <c r="N1059" s="18">
        <v>203801</v>
      </c>
      <c r="O1059" s="15" t="s">
        <v>23</v>
      </c>
      <c r="Q1059" s="13">
        <v>11496</v>
      </c>
      <c r="R1059" s="23" t="s">
        <v>380</v>
      </c>
      <c r="S1059" s="13" t="s">
        <v>471</v>
      </c>
      <c r="T1059" s="13" t="s">
        <v>16</v>
      </c>
      <c r="U1059" s="17">
        <f t="shared" si="33"/>
        <v>0</v>
      </c>
    </row>
    <row r="1060" spans="1:21" x14ac:dyDescent="0.3">
      <c r="A1060" s="13">
        <v>93</v>
      </c>
      <c r="B1060" s="13" t="str">
        <f>+VLOOKUP(A1060,'[1]PA 2023'!$A$8:$E$84,5)</f>
        <v>Mantener en funcionamiento los 3 Centros Vida con la prestacion de servicios integrales y/o dotacion de los mismos cumpliendo con la oferta institucional.</v>
      </c>
      <c r="C1060" s="14">
        <v>2020680010040</v>
      </c>
      <c r="D1060" s="14" t="str">
        <f>+VLOOKUP(C1060,'[1]PA 2023'!$G$8:$H$84,2,FALSE)</f>
        <v>IMPLEMENTACIÓN DE ACCIONES TENDIENTES A MEJORAR LAS CONDICIONES DE LOS ADULTOS MAYORES DEL MUNICIPIO DE BUCARAMANGA</v>
      </c>
      <c r="E1060" s="13" t="s">
        <v>2114</v>
      </c>
      <c r="F1060" s="15">
        <v>239</v>
      </c>
      <c r="G1060" s="22" t="s">
        <v>1925</v>
      </c>
      <c r="H1060" s="21" t="s">
        <v>1187</v>
      </c>
      <c r="I1060" s="13" t="s">
        <v>2115</v>
      </c>
      <c r="J1060" s="13" t="s">
        <v>2116</v>
      </c>
      <c r="K1060" s="16">
        <v>45189</v>
      </c>
      <c r="L1060" s="17">
        <v>20327580</v>
      </c>
      <c r="M1060" s="17">
        <v>20327580</v>
      </c>
      <c r="N1060" s="18">
        <v>0</v>
      </c>
      <c r="O1060" s="22" t="s">
        <v>2117</v>
      </c>
      <c r="Q1060" s="13">
        <v>11517</v>
      </c>
      <c r="R1060" s="23" t="s">
        <v>26</v>
      </c>
      <c r="S1060" s="13" t="s">
        <v>2118</v>
      </c>
      <c r="T1060" s="13" t="s">
        <v>16</v>
      </c>
      <c r="U1060" s="17">
        <f t="shared" si="33"/>
        <v>20327580</v>
      </c>
    </row>
    <row r="1061" spans="1:21" x14ac:dyDescent="0.3">
      <c r="A1061" s="13">
        <v>93</v>
      </c>
      <c r="B1061" s="13" t="str">
        <f>+VLOOKUP(A1061,'[1]PA 2023'!$A$8:$E$84,5)</f>
        <v>Mantener en funcionamiento los 3 Centros Vida con la prestacion de servicios integrales y/o dotacion de los mismos cumpliendo con la oferta institucional.</v>
      </c>
      <c r="C1061" s="14">
        <v>2020680010040</v>
      </c>
      <c r="D1061" s="14" t="str">
        <f>+VLOOKUP(C1061,'[1]PA 2023'!$G$8:$H$84,2,FALSE)</f>
        <v>IMPLEMENTACIÓN DE ACCIONES TENDIENTES A MEJORAR LAS CONDICIONES DE LOS ADULTOS MAYORES DEL MUNICIPIO DE BUCARAMANGA</v>
      </c>
      <c r="E1061" s="13" t="s">
        <v>2114</v>
      </c>
      <c r="F1061" s="15">
        <v>239</v>
      </c>
      <c r="G1061" s="22" t="s">
        <v>1925</v>
      </c>
      <c r="H1061" s="21" t="s">
        <v>1187</v>
      </c>
      <c r="I1061" s="13" t="s">
        <v>2115</v>
      </c>
      <c r="J1061" s="13" t="s">
        <v>2119</v>
      </c>
      <c r="K1061" s="16">
        <v>45189</v>
      </c>
      <c r="L1061" s="17">
        <v>11695320</v>
      </c>
      <c r="M1061" s="17">
        <v>11695320</v>
      </c>
      <c r="N1061" s="18">
        <v>0</v>
      </c>
      <c r="O1061" s="22" t="s">
        <v>2117</v>
      </c>
      <c r="Q1061" s="13">
        <v>11517</v>
      </c>
      <c r="R1061" s="23" t="s">
        <v>2120</v>
      </c>
      <c r="S1061" s="13" t="s">
        <v>2118</v>
      </c>
      <c r="T1061" s="13" t="s">
        <v>16</v>
      </c>
      <c r="U1061" s="17">
        <f t="shared" si="33"/>
        <v>11695320</v>
      </c>
    </row>
    <row r="1062" spans="1:21" x14ac:dyDescent="0.3">
      <c r="A1062" s="13">
        <v>93</v>
      </c>
      <c r="B1062" s="13" t="str">
        <f>+VLOOKUP(A1062,'[1]PA 2023'!$A$8:$E$84,5)</f>
        <v>Mantener en funcionamiento los 3 Centros Vida con la prestacion de servicios integrales y/o dotacion de los mismos cumpliendo con la oferta institucional.</v>
      </c>
      <c r="C1062" s="14">
        <v>2020680010040</v>
      </c>
      <c r="D1062" s="14" t="str">
        <f>+VLOOKUP(C1062,'[1]PA 2023'!$G$8:$H$84,2,FALSE)</f>
        <v>IMPLEMENTACIÓN DE ACCIONES TENDIENTES A MEJORAR LAS CONDICIONES DE LOS ADULTOS MAYORES DEL MUNICIPIO DE BUCARAMANGA</v>
      </c>
      <c r="E1062" s="13" t="s">
        <v>2114</v>
      </c>
      <c r="F1062" s="15">
        <v>239</v>
      </c>
      <c r="G1062" s="22" t="s">
        <v>1925</v>
      </c>
      <c r="H1062" s="21" t="s">
        <v>1187</v>
      </c>
      <c r="I1062" s="13" t="s">
        <v>2115</v>
      </c>
      <c r="J1062" s="13" t="s">
        <v>2121</v>
      </c>
      <c r="K1062" s="16">
        <v>45189</v>
      </c>
      <c r="L1062" s="17">
        <v>2960671.38</v>
      </c>
      <c r="M1062" s="17">
        <v>2960671.38</v>
      </c>
      <c r="N1062" s="18">
        <v>0</v>
      </c>
      <c r="O1062" s="22" t="s">
        <v>2117</v>
      </c>
      <c r="Q1062" s="13">
        <v>11517</v>
      </c>
      <c r="R1062" s="23" t="s">
        <v>2122</v>
      </c>
      <c r="S1062" s="13" t="s">
        <v>2118</v>
      </c>
      <c r="T1062" s="13" t="s">
        <v>16</v>
      </c>
      <c r="U1062" s="17">
        <f t="shared" si="33"/>
        <v>2960671.38</v>
      </c>
    </row>
    <row r="1063" spans="1:21" x14ac:dyDescent="0.3">
      <c r="A1063" s="13">
        <v>93</v>
      </c>
      <c r="B1063" s="13" t="str">
        <f>+VLOOKUP(A1063,'[1]PA 2023'!$A$8:$E$84,5)</f>
        <v>Mantener en funcionamiento los 3 Centros Vida con la prestacion de servicios integrales y/o dotacion de los mismos cumpliendo con la oferta institucional.</v>
      </c>
      <c r="C1063" s="14">
        <v>2020680010040</v>
      </c>
      <c r="D1063" s="14" t="str">
        <f>+VLOOKUP(C1063,'[1]PA 2023'!$G$8:$H$84,2,FALSE)</f>
        <v>IMPLEMENTACIÓN DE ACCIONES TENDIENTES A MEJORAR LAS CONDICIONES DE LOS ADULTOS MAYORES DEL MUNICIPIO DE BUCARAMANGA</v>
      </c>
      <c r="E1063" s="13" t="s">
        <v>2114</v>
      </c>
      <c r="F1063" s="15">
        <v>239</v>
      </c>
      <c r="G1063" s="22" t="s">
        <v>1925</v>
      </c>
      <c r="H1063" s="21" t="s">
        <v>1187</v>
      </c>
      <c r="I1063" s="13" t="s">
        <v>2115</v>
      </c>
      <c r="J1063" s="13" t="s">
        <v>2123</v>
      </c>
      <c r="K1063" s="16">
        <v>45189</v>
      </c>
      <c r="L1063" s="17">
        <v>2577540</v>
      </c>
      <c r="M1063" s="17">
        <v>2577540</v>
      </c>
      <c r="N1063" s="18">
        <v>0</v>
      </c>
      <c r="O1063" s="22" t="s">
        <v>2117</v>
      </c>
      <c r="Q1063" s="13">
        <v>11517</v>
      </c>
      <c r="R1063" s="23" t="s">
        <v>26</v>
      </c>
      <c r="S1063" s="13" t="s">
        <v>2118</v>
      </c>
      <c r="T1063" s="13" t="s">
        <v>16</v>
      </c>
      <c r="U1063" s="17">
        <f t="shared" si="33"/>
        <v>2577540</v>
      </c>
    </row>
    <row r="1064" spans="1:21" x14ac:dyDescent="0.3">
      <c r="A1064" s="13">
        <v>93</v>
      </c>
      <c r="B1064" s="13" t="str">
        <f>+VLOOKUP(A1064,'[1]PA 2023'!$A$8:$E$84,5)</f>
        <v>Mantener en funcionamiento los 3 Centros Vida con la prestacion de servicios integrales y/o dotacion de los mismos cumpliendo con la oferta institucional.</v>
      </c>
      <c r="C1064" s="14">
        <v>2020680010040</v>
      </c>
      <c r="D1064" s="14" t="str">
        <f>+VLOOKUP(C1064,'[1]PA 2023'!$G$8:$H$84,2,FALSE)</f>
        <v>IMPLEMENTACIÓN DE ACCIONES TENDIENTES A MEJORAR LAS CONDICIONES DE LOS ADULTOS MAYORES DEL MUNICIPIO DE BUCARAMANGA</v>
      </c>
      <c r="E1064" s="13" t="s">
        <v>2114</v>
      </c>
      <c r="F1064" s="15">
        <v>239</v>
      </c>
      <c r="G1064" s="22" t="s">
        <v>1925</v>
      </c>
      <c r="H1064" s="21" t="s">
        <v>1187</v>
      </c>
      <c r="I1064" s="13" t="s">
        <v>2115</v>
      </c>
      <c r="J1064" s="13" t="s">
        <v>2124</v>
      </c>
      <c r="K1064" s="16">
        <v>45189</v>
      </c>
      <c r="L1064" s="17">
        <v>2543268</v>
      </c>
      <c r="M1064" s="17">
        <v>2543268</v>
      </c>
      <c r="N1064" s="18">
        <v>0</v>
      </c>
      <c r="O1064" s="22" t="s">
        <v>2117</v>
      </c>
      <c r="Q1064" s="13">
        <v>11517</v>
      </c>
      <c r="R1064" s="23" t="s">
        <v>26</v>
      </c>
      <c r="S1064" s="13" t="s">
        <v>2118</v>
      </c>
      <c r="T1064" s="13" t="s">
        <v>16</v>
      </c>
      <c r="U1064" s="17">
        <f t="shared" si="33"/>
        <v>2543268</v>
      </c>
    </row>
    <row r="1065" spans="1:21" x14ac:dyDescent="0.3">
      <c r="A1065" s="13">
        <v>284</v>
      </c>
      <c r="B1065" s="13" t="str">
        <f>+VLOOKUP(A1065,'[1]PA 2023'!$A$8:$E$84,5)</f>
        <v>Construir y/o dotar 10 salones comunales con el programa Ágoras.</v>
      </c>
      <c r="C1065" s="14">
        <v>2023680010037</v>
      </c>
      <c r="D1065" s="14" t="str">
        <f>+VLOOKUP(C1065,'[1]PA 2023'!$G$8:$H$84,2,FALSE)</f>
        <v>Dotación DE EQUIPOS DE CÓMPUTO, AUDIOVISUAL, MOBILIARIO PARA LOS SALONES COMUNALES-ÁGORAS EN EL MUNICIPIO BUCARAMANGA”,   Bucaramanga</v>
      </c>
      <c r="E1065" s="13" t="s">
        <v>2114</v>
      </c>
      <c r="F1065" s="15">
        <v>239</v>
      </c>
      <c r="G1065" s="22" t="s">
        <v>1925</v>
      </c>
      <c r="H1065" s="21" t="s">
        <v>1187</v>
      </c>
      <c r="I1065" s="13" t="s">
        <v>2115</v>
      </c>
      <c r="J1065" s="13" t="s">
        <v>2125</v>
      </c>
      <c r="K1065" s="16">
        <v>45189</v>
      </c>
      <c r="L1065" s="17">
        <v>1893226</v>
      </c>
      <c r="M1065" s="17">
        <v>1893226</v>
      </c>
      <c r="N1065" s="18">
        <v>0</v>
      </c>
      <c r="O1065" s="22" t="s">
        <v>2117</v>
      </c>
      <c r="Q1065" s="13">
        <v>11517</v>
      </c>
      <c r="R1065" s="23" t="s">
        <v>2126</v>
      </c>
      <c r="S1065" s="13" t="s">
        <v>2118</v>
      </c>
      <c r="T1065" s="13" t="s">
        <v>16</v>
      </c>
      <c r="U1065" s="17">
        <f t="shared" si="33"/>
        <v>1893226</v>
      </c>
    </row>
    <row r="1066" spans="1:21" x14ac:dyDescent="0.3">
      <c r="A1066" s="13">
        <v>284</v>
      </c>
      <c r="B1066" s="13" t="str">
        <f>+VLOOKUP(A1066,'[1]PA 2023'!$A$8:$E$84,5)</f>
        <v>Construir y/o dotar 10 salones comunales con el programa Ágoras.</v>
      </c>
      <c r="C1066" s="14">
        <v>2023680010037</v>
      </c>
      <c r="D1066" s="14" t="str">
        <f>+VLOOKUP(C1066,'[1]PA 2023'!$G$8:$H$84,2,FALSE)</f>
        <v>Dotación DE EQUIPOS DE CÓMPUTO, AUDIOVISUAL, MOBILIARIO PARA LOS SALONES COMUNALES-ÁGORAS EN EL MUNICIPIO BUCARAMANGA”,   Bucaramanga</v>
      </c>
      <c r="E1066" s="13" t="s">
        <v>2114</v>
      </c>
      <c r="F1066" s="15">
        <v>239</v>
      </c>
      <c r="G1066" s="22" t="s">
        <v>1925</v>
      </c>
      <c r="H1066" s="21" t="s">
        <v>1187</v>
      </c>
      <c r="I1066" s="13" t="s">
        <v>2115</v>
      </c>
      <c r="J1066" s="13" t="s">
        <v>2125</v>
      </c>
      <c r="K1066" s="16">
        <v>45189</v>
      </c>
      <c r="L1066" s="17">
        <v>441498.14</v>
      </c>
      <c r="M1066" s="17">
        <v>441498.14</v>
      </c>
      <c r="N1066" s="18">
        <v>0</v>
      </c>
      <c r="O1066" s="22" t="s">
        <v>2117</v>
      </c>
      <c r="Q1066" s="13">
        <v>11517</v>
      </c>
      <c r="R1066" s="23" t="s">
        <v>2126</v>
      </c>
      <c r="S1066" s="13" t="s">
        <v>2118</v>
      </c>
      <c r="T1066" s="13" t="s">
        <v>16</v>
      </c>
      <c r="U1066" s="17">
        <f t="shared" si="33"/>
        <v>441498.14</v>
      </c>
    </row>
    <row r="1067" spans="1:21" x14ac:dyDescent="0.3">
      <c r="A1067" s="13">
        <v>285</v>
      </c>
      <c r="B1067" s="13" t="str">
        <f>+VLOOKUP(A1067,'[1]PA 2023'!$A$8:$E$84,5)</f>
        <v>Mantener en funcionamiento el 100% de los salones comunales que hacen parte del programa Ágoras.</v>
      </c>
      <c r="C1067" s="14">
        <v>2022680010029</v>
      </c>
      <c r="D1067" s="14" t="str">
        <f>+VLOOKUP(C1067,'[1]PA 2023'!$G$8:$H$84,2,FALSE)</f>
        <v>FORTALECIMIENTO DE LA PARTICIPACIÓN CIUDADANA EN EL MUNICIPIO DE BUCARAMANGA</v>
      </c>
      <c r="E1067" s="13" t="s">
        <v>2127</v>
      </c>
      <c r="F1067" s="15" t="s">
        <v>22</v>
      </c>
      <c r="G1067" s="22" t="s">
        <v>23</v>
      </c>
      <c r="H1067" s="21" t="s">
        <v>23</v>
      </c>
      <c r="I1067" s="13" t="s">
        <v>24</v>
      </c>
      <c r="J1067" s="13" t="s">
        <v>1130</v>
      </c>
      <c r="K1067" s="16">
        <v>45189</v>
      </c>
      <c r="L1067" s="17">
        <v>173270</v>
      </c>
      <c r="M1067" s="17">
        <v>173270</v>
      </c>
      <c r="N1067" s="18">
        <v>173270</v>
      </c>
      <c r="O1067" s="15" t="s">
        <v>23</v>
      </c>
      <c r="Q1067" s="13">
        <v>11519</v>
      </c>
      <c r="R1067" s="13" t="s">
        <v>134</v>
      </c>
      <c r="S1067" s="13" t="s">
        <v>27</v>
      </c>
      <c r="T1067" s="13" t="s">
        <v>16</v>
      </c>
      <c r="U1067" s="17">
        <f t="shared" si="33"/>
        <v>0</v>
      </c>
    </row>
    <row r="1068" spans="1:21" x14ac:dyDescent="0.3">
      <c r="A1068" s="13">
        <v>93</v>
      </c>
      <c r="B1068" s="13" t="str">
        <f>+VLOOKUP(A1068,'[1]PA 2023'!$A$8:$E$84,5)</f>
        <v>Mantener en funcionamiento los 3 Centros Vida con la prestacion de servicios integrales y/o dotacion de los mismos cumpliendo con la oferta institucional.</v>
      </c>
      <c r="C1068" s="14">
        <v>2020680010040</v>
      </c>
      <c r="D1068" s="14" t="str">
        <f>+VLOOKUP(C1068,'[1]PA 2023'!$G$8:$H$84,2,FALSE)</f>
        <v>IMPLEMENTACIÓN DE ACCIONES TENDIENTES A MEJORAR LAS CONDICIONES DE LOS ADULTOS MAYORES DEL MUNICIPIO DE BUCARAMANGA</v>
      </c>
      <c r="E1068" s="13" t="s">
        <v>2128</v>
      </c>
      <c r="F1068" s="15" t="s">
        <v>22</v>
      </c>
      <c r="G1068" s="22" t="s">
        <v>23</v>
      </c>
      <c r="H1068" s="21" t="s">
        <v>23</v>
      </c>
      <c r="I1068" s="13" t="s">
        <v>24</v>
      </c>
      <c r="J1068" s="13" t="s">
        <v>25</v>
      </c>
      <c r="K1068" s="16">
        <v>45189</v>
      </c>
      <c r="L1068" s="17">
        <v>763050</v>
      </c>
      <c r="M1068" s="17">
        <v>763050</v>
      </c>
      <c r="N1068" s="18">
        <v>763050</v>
      </c>
      <c r="O1068" s="15" t="s">
        <v>23</v>
      </c>
      <c r="Q1068" s="13">
        <v>11520</v>
      </c>
      <c r="R1068" s="13" t="s">
        <v>26</v>
      </c>
      <c r="S1068" s="13" t="s">
        <v>27</v>
      </c>
      <c r="T1068" s="13" t="s">
        <v>16</v>
      </c>
      <c r="U1068" s="17">
        <f t="shared" si="33"/>
        <v>0</v>
      </c>
    </row>
    <row r="1069" spans="1:21" x14ac:dyDescent="0.3">
      <c r="A1069" s="13">
        <v>71</v>
      </c>
      <c r="B1069" s="13" t="str">
        <f>+VLOOKUP(A1069,'[1]PA 2023'!$A$8:$E$84,5)</f>
        <v>Formular e implementar 1 estrategia de corresponsabilidad en la garantía de derechos, la prevención de vulneración, amenaza o riesgo en el ámbito familiar, comunitario e institucional.</v>
      </c>
      <c r="C1069" s="14">
        <v>2022680010056</v>
      </c>
      <c r="D1069" s="14" t="str">
        <f>+VLOOKUP(C1069,'[1]PA 2023'!$G$8:$H$84,2,FALSE)</f>
        <v>APOYO EN LOS PROCESOS DE ATENCIÓN INTEGRAL DE LOS NIÑOS Y NIÑAS EN EL ESPACIO DE CUIDADO Y ALBERGUE "CASA BÚHO" EN EL MUNICIPIO DE BUCARAMANGA</v>
      </c>
      <c r="E1069" s="13" t="s">
        <v>2129</v>
      </c>
      <c r="F1069" s="15" t="s">
        <v>22</v>
      </c>
      <c r="G1069" s="22" t="s">
        <v>23</v>
      </c>
      <c r="H1069" s="21" t="s">
        <v>23</v>
      </c>
      <c r="I1069" s="13" t="s">
        <v>24</v>
      </c>
      <c r="J1069" s="13" t="s">
        <v>970</v>
      </c>
      <c r="K1069" s="16">
        <v>45189</v>
      </c>
      <c r="L1069" s="17">
        <v>294110</v>
      </c>
      <c r="M1069" s="17">
        <v>294110</v>
      </c>
      <c r="N1069" s="18">
        <v>294110</v>
      </c>
      <c r="O1069" s="15" t="s">
        <v>23</v>
      </c>
      <c r="Q1069" s="13">
        <v>11521</v>
      </c>
      <c r="R1069" s="13" t="s">
        <v>170</v>
      </c>
      <c r="S1069" s="13" t="s">
        <v>27</v>
      </c>
      <c r="T1069" s="13" t="s">
        <v>16</v>
      </c>
      <c r="U1069" s="17">
        <f t="shared" si="33"/>
        <v>0</v>
      </c>
    </row>
    <row r="1070" spans="1:21" x14ac:dyDescent="0.3">
      <c r="A1070" s="13">
        <v>71</v>
      </c>
      <c r="B1070" s="13" t="str">
        <f>+VLOOKUP(A1070,'[1]PA 2023'!$A$8:$E$84,5)</f>
        <v>Formular e implementar 1 estrategia de corresponsabilidad en la garantía de derechos, la prevención de vulneración, amenaza o riesgo en el ámbito familiar, comunitario e institucional.</v>
      </c>
      <c r="C1070" s="14">
        <v>2022680010056</v>
      </c>
      <c r="D1070" s="14" t="str">
        <f>+VLOOKUP(C1070,'[1]PA 2023'!$G$8:$H$84,2,FALSE)</f>
        <v>APOYO EN LOS PROCESOS DE ATENCIÓN INTEGRAL DE LOS NIÑOS Y NIÑAS EN EL ESPACIO DE CUIDADO Y ALBERGUE "CASA BÚHO" EN EL MUNICIPIO DE BUCARAMANGA</v>
      </c>
      <c r="E1070" s="13" t="s">
        <v>2130</v>
      </c>
      <c r="F1070" s="15" t="s">
        <v>22</v>
      </c>
      <c r="G1070" s="22" t="s">
        <v>23</v>
      </c>
      <c r="H1070" s="21" t="s">
        <v>23</v>
      </c>
      <c r="I1070" s="13" t="s">
        <v>32</v>
      </c>
      <c r="J1070" s="13" t="s">
        <v>970</v>
      </c>
      <c r="K1070" s="16">
        <v>45189</v>
      </c>
      <c r="L1070" s="17">
        <v>163141</v>
      </c>
      <c r="M1070" s="17">
        <v>163141</v>
      </c>
      <c r="N1070" s="18">
        <v>163141</v>
      </c>
      <c r="O1070" s="15" t="s">
        <v>23</v>
      </c>
      <c r="Q1070" s="13">
        <v>11522</v>
      </c>
      <c r="R1070" s="13" t="s">
        <v>170</v>
      </c>
      <c r="S1070" s="13" t="s">
        <v>33</v>
      </c>
      <c r="T1070" s="13" t="s">
        <v>16</v>
      </c>
      <c r="U1070" s="17">
        <f t="shared" si="33"/>
        <v>0</v>
      </c>
    </row>
    <row r="1071" spans="1:21" x14ac:dyDescent="0.3">
      <c r="A1071" s="13">
        <v>284</v>
      </c>
      <c r="B1071" s="13" t="str">
        <f>+VLOOKUP(A1071,'[1]PA 2023'!$A$8:$E$84,5)</f>
        <v>Construir y/o dotar 10 salones comunales con el programa Ágoras.</v>
      </c>
      <c r="C1071" s="14">
        <v>2023680010037</v>
      </c>
      <c r="D1071" s="14" t="str">
        <f>+VLOOKUP(C1071,'[1]PA 2023'!$G$8:$H$84,2,FALSE)</f>
        <v>Dotación DE EQUIPOS DE CÓMPUTO, AUDIOVISUAL, MOBILIARIO PARA LOS SALONES COMUNALES-ÁGORAS EN EL MUNICIPIO BUCARAMANGA”,   Bucaramanga</v>
      </c>
      <c r="E1071" s="13" t="s">
        <v>2114</v>
      </c>
      <c r="F1071" s="15">
        <v>237</v>
      </c>
      <c r="G1071" s="22" t="s">
        <v>1925</v>
      </c>
      <c r="H1071" s="21" t="s">
        <v>1187</v>
      </c>
      <c r="I1071" s="13" t="s">
        <v>2131</v>
      </c>
      <c r="J1071" s="13" t="s">
        <v>2132</v>
      </c>
      <c r="K1071" s="16">
        <v>45189</v>
      </c>
      <c r="L1071" s="17">
        <v>60000000</v>
      </c>
      <c r="M1071" s="17">
        <v>60000000</v>
      </c>
      <c r="N1071" s="18">
        <v>0</v>
      </c>
      <c r="O1071" s="22" t="s">
        <v>2117</v>
      </c>
      <c r="Q1071" s="13">
        <v>11523</v>
      </c>
      <c r="R1071" s="23" t="s">
        <v>134</v>
      </c>
      <c r="S1071" s="13" t="s">
        <v>2133</v>
      </c>
      <c r="T1071" s="13" t="s">
        <v>16</v>
      </c>
      <c r="U1071" s="17">
        <f t="shared" si="33"/>
        <v>60000000</v>
      </c>
    </row>
    <row r="1072" spans="1:21" x14ac:dyDescent="0.3">
      <c r="A1072" s="13">
        <v>284</v>
      </c>
      <c r="B1072" s="13" t="str">
        <f>+VLOOKUP(A1072,'[1]PA 2023'!$A$8:$E$84,5)</f>
        <v>Construir y/o dotar 10 salones comunales con el programa Ágoras.</v>
      </c>
      <c r="C1072" s="14">
        <v>2023680010037</v>
      </c>
      <c r="D1072" s="14" t="str">
        <f>+VLOOKUP(C1072,'[1]PA 2023'!$G$8:$H$84,2,FALSE)</f>
        <v>Dotación DE EQUIPOS DE CÓMPUTO, AUDIOVISUAL, MOBILIARIO PARA LOS SALONES COMUNALES-ÁGORAS EN EL MUNICIPIO BUCARAMANGA”,   Bucaramanga</v>
      </c>
      <c r="E1072" s="13" t="s">
        <v>2114</v>
      </c>
      <c r="F1072" s="15">
        <v>237</v>
      </c>
      <c r="G1072" s="22" t="s">
        <v>1925</v>
      </c>
      <c r="H1072" s="21" t="s">
        <v>1187</v>
      </c>
      <c r="I1072" s="13" t="s">
        <v>2131</v>
      </c>
      <c r="J1072" s="13" t="s">
        <v>2134</v>
      </c>
      <c r="K1072" s="16">
        <v>45189</v>
      </c>
      <c r="L1072" s="17">
        <v>50331719</v>
      </c>
      <c r="M1072" s="17">
        <v>50331719</v>
      </c>
      <c r="N1072" s="18">
        <v>0</v>
      </c>
      <c r="O1072" s="22" t="s">
        <v>2117</v>
      </c>
      <c r="Q1072" s="13">
        <v>11523</v>
      </c>
      <c r="R1072" s="23" t="s">
        <v>1462</v>
      </c>
      <c r="S1072" s="13" t="s">
        <v>2133</v>
      </c>
      <c r="T1072" s="13" t="s">
        <v>16</v>
      </c>
      <c r="U1072" s="17">
        <f t="shared" si="33"/>
        <v>50331719</v>
      </c>
    </row>
    <row r="1073" spans="1:21" x14ac:dyDescent="0.3">
      <c r="A1073" s="13">
        <v>284</v>
      </c>
      <c r="B1073" s="13" t="str">
        <f>+VLOOKUP(A1073,'[1]PA 2023'!$A$8:$E$84,5)</f>
        <v>Construir y/o dotar 10 salones comunales con el programa Ágoras.</v>
      </c>
      <c r="C1073" s="14">
        <v>2023680010037</v>
      </c>
      <c r="D1073" s="14" t="str">
        <f>+VLOOKUP(C1073,'[1]PA 2023'!$G$8:$H$84,2,FALSE)</f>
        <v>Dotación DE EQUIPOS DE CÓMPUTO, AUDIOVISUAL, MOBILIARIO PARA LOS SALONES COMUNALES-ÁGORAS EN EL MUNICIPIO BUCARAMANGA”,   Bucaramanga</v>
      </c>
      <c r="E1073" s="13" t="s">
        <v>2114</v>
      </c>
      <c r="F1073" s="15">
        <v>237</v>
      </c>
      <c r="G1073" s="22" t="s">
        <v>1925</v>
      </c>
      <c r="H1073" s="21" t="s">
        <v>1187</v>
      </c>
      <c r="I1073" s="13" t="s">
        <v>2131</v>
      </c>
      <c r="J1073" s="13" t="s">
        <v>2134</v>
      </c>
      <c r="K1073" s="16">
        <v>45189</v>
      </c>
      <c r="L1073" s="17">
        <v>102423281</v>
      </c>
      <c r="M1073" s="17">
        <v>102423281</v>
      </c>
      <c r="N1073" s="18">
        <v>0</v>
      </c>
      <c r="O1073" s="22" t="s">
        <v>2117</v>
      </c>
      <c r="Q1073" s="13">
        <v>11523</v>
      </c>
      <c r="R1073" s="23" t="s">
        <v>1462</v>
      </c>
      <c r="S1073" s="13" t="s">
        <v>2133</v>
      </c>
      <c r="T1073" s="13" t="s">
        <v>16</v>
      </c>
      <c r="U1073" s="17">
        <f t="shared" si="33"/>
        <v>102423281</v>
      </c>
    </row>
    <row r="1074" spans="1:21" x14ac:dyDescent="0.3">
      <c r="A1074" s="13">
        <v>284</v>
      </c>
      <c r="B1074" s="13" t="str">
        <f>+VLOOKUP(A1074,'[1]PA 2023'!$A$8:$E$84,5)</f>
        <v>Construir y/o dotar 10 salones comunales con el programa Ágoras.</v>
      </c>
      <c r="C1074" s="14">
        <v>2023680010037</v>
      </c>
      <c r="D1074" s="14" t="str">
        <f>+VLOOKUP(C1074,'[1]PA 2023'!$G$8:$H$84,2,FALSE)</f>
        <v>Dotación DE EQUIPOS DE CÓMPUTO, AUDIOVISUAL, MOBILIARIO PARA LOS SALONES COMUNALES-ÁGORAS EN EL MUNICIPIO BUCARAMANGA”,   Bucaramanga</v>
      </c>
      <c r="E1074" s="13" t="s">
        <v>2114</v>
      </c>
      <c r="F1074" s="15">
        <v>238</v>
      </c>
      <c r="G1074" s="22" t="s">
        <v>1925</v>
      </c>
      <c r="H1074" s="21" t="s">
        <v>1187</v>
      </c>
      <c r="I1074" s="13" t="s">
        <v>2135</v>
      </c>
      <c r="J1074" s="13" t="s">
        <v>2136</v>
      </c>
      <c r="K1074" s="16">
        <v>45189</v>
      </c>
      <c r="L1074" s="17">
        <v>40013216</v>
      </c>
      <c r="M1074" s="17">
        <v>40013216</v>
      </c>
      <c r="N1074" s="18">
        <v>0</v>
      </c>
      <c r="O1074" s="22" t="s">
        <v>2117</v>
      </c>
      <c r="Q1074" s="13">
        <v>11525</v>
      </c>
      <c r="R1074" s="23" t="s">
        <v>1462</v>
      </c>
      <c r="S1074" s="13" t="s">
        <v>2137</v>
      </c>
      <c r="T1074" s="13" t="s">
        <v>16</v>
      </c>
      <c r="U1074" s="17">
        <f t="shared" si="33"/>
        <v>40013216</v>
      </c>
    </row>
    <row r="1075" spans="1:21" x14ac:dyDescent="0.3">
      <c r="A1075" s="13">
        <v>284</v>
      </c>
      <c r="B1075" s="13" t="str">
        <f>+VLOOKUP(A1075,'[1]PA 2023'!$A$8:$E$84,5)</f>
        <v>Construir y/o dotar 10 salones comunales con el programa Ágoras.</v>
      </c>
      <c r="C1075" s="14">
        <v>2023680010037</v>
      </c>
      <c r="D1075" s="14" t="str">
        <f>+VLOOKUP(C1075,'[1]PA 2023'!$G$8:$H$84,2,FALSE)</f>
        <v>Dotación DE EQUIPOS DE CÓMPUTO, AUDIOVISUAL, MOBILIARIO PARA LOS SALONES COMUNALES-ÁGORAS EN EL MUNICIPIO BUCARAMANGA”,   Bucaramanga</v>
      </c>
      <c r="E1075" s="13" t="s">
        <v>2114</v>
      </c>
      <c r="F1075" s="15">
        <v>238</v>
      </c>
      <c r="G1075" s="22" t="s">
        <v>1925</v>
      </c>
      <c r="H1075" s="21" t="s">
        <v>1187</v>
      </c>
      <c r="I1075" s="13" t="s">
        <v>2135</v>
      </c>
      <c r="J1075" s="13" t="s">
        <v>2136</v>
      </c>
      <c r="K1075" s="16">
        <v>45189</v>
      </c>
      <c r="L1075" s="17">
        <v>36286784</v>
      </c>
      <c r="M1075" s="17">
        <v>36286784</v>
      </c>
      <c r="N1075" s="18">
        <v>0</v>
      </c>
      <c r="O1075" s="22" t="s">
        <v>2117</v>
      </c>
      <c r="Q1075" s="13">
        <v>11525</v>
      </c>
      <c r="R1075" s="23" t="s">
        <v>1462</v>
      </c>
      <c r="S1075" s="13" t="s">
        <v>2137</v>
      </c>
      <c r="T1075" s="13" t="s">
        <v>16</v>
      </c>
      <c r="U1075" s="17">
        <f t="shared" si="33"/>
        <v>36286784</v>
      </c>
    </row>
    <row r="1076" spans="1:21" x14ac:dyDescent="0.3">
      <c r="A1076" s="13">
        <v>284</v>
      </c>
      <c r="B1076" s="13" t="str">
        <f>+VLOOKUP(A1076,'[1]PA 2023'!$A$8:$E$84,5)</f>
        <v>Construir y/o dotar 10 salones comunales con el programa Ágoras.</v>
      </c>
      <c r="C1076" s="14">
        <v>2023680010037</v>
      </c>
      <c r="D1076" s="14" t="str">
        <f>+VLOOKUP(C1076,'[1]PA 2023'!$G$8:$H$84,2,FALSE)</f>
        <v>Dotación DE EQUIPOS DE CÓMPUTO, AUDIOVISUAL, MOBILIARIO PARA LOS SALONES COMUNALES-ÁGORAS EN EL MUNICIPIO BUCARAMANGA”,   Bucaramanga</v>
      </c>
      <c r="E1076" s="13" t="s">
        <v>2114</v>
      </c>
      <c r="F1076" s="15">
        <v>238</v>
      </c>
      <c r="G1076" s="22" t="s">
        <v>1925</v>
      </c>
      <c r="H1076" s="21" t="s">
        <v>1187</v>
      </c>
      <c r="I1076" s="13" t="s">
        <v>2135</v>
      </c>
      <c r="J1076" s="13" t="s">
        <v>2138</v>
      </c>
      <c r="K1076" s="16">
        <v>45189</v>
      </c>
      <c r="L1076" s="17">
        <v>18561696.52</v>
      </c>
      <c r="M1076" s="17">
        <v>18561696.52</v>
      </c>
      <c r="N1076" s="18">
        <v>0</v>
      </c>
      <c r="O1076" s="22" t="s">
        <v>2117</v>
      </c>
      <c r="Q1076" s="13">
        <v>11525</v>
      </c>
      <c r="R1076" s="23" t="s">
        <v>1462</v>
      </c>
      <c r="S1076" s="13" t="s">
        <v>2137</v>
      </c>
      <c r="T1076" s="13" t="s">
        <v>16</v>
      </c>
      <c r="U1076" s="17">
        <f t="shared" si="33"/>
        <v>18561696.52</v>
      </c>
    </row>
    <row r="1077" spans="1:21" x14ac:dyDescent="0.3">
      <c r="A1077" s="13">
        <v>284</v>
      </c>
      <c r="B1077" s="13" t="str">
        <f>+VLOOKUP(A1077,'[1]PA 2023'!$A$8:$E$84,5)</f>
        <v>Construir y/o dotar 10 salones comunales con el programa Ágoras.</v>
      </c>
      <c r="C1077" s="14">
        <v>2023680010037</v>
      </c>
      <c r="D1077" s="14" t="str">
        <f>+VLOOKUP(C1077,'[1]PA 2023'!$G$8:$H$84,2,FALSE)</f>
        <v>Dotación DE EQUIPOS DE CÓMPUTO, AUDIOVISUAL, MOBILIARIO PARA LOS SALONES COMUNALES-ÁGORAS EN EL MUNICIPIO BUCARAMANGA”,   Bucaramanga</v>
      </c>
      <c r="E1077" s="13" t="s">
        <v>2114</v>
      </c>
      <c r="F1077" s="15">
        <v>238</v>
      </c>
      <c r="G1077" s="22" t="s">
        <v>1925</v>
      </c>
      <c r="H1077" s="21" t="s">
        <v>1187</v>
      </c>
      <c r="I1077" s="13" t="s">
        <v>2135</v>
      </c>
      <c r="J1077" s="13" t="s">
        <v>2138</v>
      </c>
      <c r="K1077" s="16">
        <v>45189</v>
      </c>
      <c r="L1077" s="17">
        <v>39016998</v>
      </c>
      <c r="M1077" s="17">
        <v>39016998</v>
      </c>
      <c r="N1077" s="18">
        <v>0</v>
      </c>
      <c r="O1077" s="22" t="s">
        <v>2117</v>
      </c>
      <c r="Q1077" s="13">
        <v>11525</v>
      </c>
      <c r="R1077" s="23" t="s">
        <v>1462</v>
      </c>
      <c r="S1077" s="13" t="s">
        <v>2137</v>
      </c>
      <c r="T1077" s="13" t="s">
        <v>16</v>
      </c>
      <c r="U1077" s="17">
        <f t="shared" si="33"/>
        <v>39016998</v>
      </c>
    </row>
    <row r="1078" spans="1:21" x14ac:dyDescent="0.3">
      <c r="A1078" s="13">
        <v>284</v>
      </c>
      <c r="B1078" s="13" t="str">
        <f>+VLOOKUP(A1078,'[1]PA 2023'!$A$8:$E$84,5)</f>
        <v>Construir y/o dotar 10 salones comunales con el programa Ágoras.</v>
      </c>
      <c r="C1078" s="14">
        <v>2023680010037</v>
      </c>
      <c r="D1078" s="14" t="str">
        <f>+VLOOKUP(C1078,'[1]PA 2023'!$G$8:$H$84,2,FALSE)</f>
        <v>Dotación DE EQUIPOS DE CÓMPUTO, AUDIOVISUAL, MOBILIARIO PARA LOS SALONES COMUNALES-ÁGORAS EN EL MUNICIPIO BUCARAMANGA”,   Bucaramanga</v>
      </c>
      <c r="E1078" s="13" t="s">
        <v>2114</v>
      </c>
      <c r="F1078" s="15">
        <v>238</v>
      </c>
      <c r="G1078" s="22" t="s">
        <v>1925</v>
      </c>
      <c r="H1078" s="21" t="s">
        <v>1187</v>
      </c>
      <c r="I1078" s="13" t="s">
        <v>2135</v>
      </c>
      <c r="J1078" s="13" t="s">
        <v>2139</v>
      </c>
      <c r="K1078" s="16">
        <v>45189</v>
      </c>
      <c r="L1078" s="17">
        <v>15787428.779999999</v>
      </c>
      <c r="M1078" s="17">
        <v>15787428.779999999</v>
      </c>
      <c r="N1078" s="18">
        <v>0</v>
      </c>
      <c r="O1078" s="22" t="s">
        <v>2117</v>
      </c>
      <c r="Q1078" s="13">
        <v>11525</v>
      </c>
      <c r="R1078" s="23" t="s">
        <v>134</v>
      </c>
      <c r="S1078" s="13" t="s">
        <v>2137</v>
      </c>
      <c r="T1078" s="13" t="s">
        <v>16</v>
      </c>
      <c r="U1078" s="17">
        <f t="shared" si="33"/>
        <v>15787428.779999999</v>
      </c>
    </row>
    <row r="1079" spans="1:21" x14ac:dyDescent="0.3">
      <c r="A1079" s="13">
        <v>117</v>
      </c>
      <c r="B1079" s="13" t="str">
        <f>+VLOOKUP(A1079,'[1]PA 2023'!$A$8:$E$84,5)</f>
        <v>Formular e implementar 1 estrategia de orientación ocupacional, aprovechamiento del tiempo libre, formación y esparcimiento cultural y actividades que mejoren la calidad de vida dirigidas a personas con discapacidad.</v>
      </c>
      <c r="C1079" s="14">
        <v>2020680010121</v>
      </c>
      <c r="D1079" s="14" t="str">
        <f>+VLOOKUP(C1079,'[1]PA 2023'!$G$8:$H$84,2,FALSE)</f>
        <v>APOYO A LA OPERATIVIDAD DE LOS PROGRAMAS DE ATENCIÓN INTEGRAL A LAS PERSONAS CON DISCAPACIDAD. FAMILIARES Y/O CUIDADORES DEL MUNICIPIO DE BUCARAMANGA</v>
      </c>
      <c r="E1079" s="13" t="s">
        <v>2140</v>
      </c>
      <c r="F1079" s="15">
        <v>131</v>
      </c>
      <c r="G1079" s="22" t="s">
        <v>1949</v>
      </c>
      <c r="H1079" s="21" t="s">
        <v>1901</v>
      </c>
      <c r="I1079" s="13" t="s">
        <v>1508</v>
      </c>
      <c r="J1079" s="13" t="s">
        <v>191</v>
      </c>
      <c r="K1079" s="16">
        <v>45190</v>
      </c>
      <c r="L1079" s="17">
        <v>67200000</v>
      </c>
      <c r="M1079" s="17">
        <v>67200000</v>
      </c>
      <c r="N1079" s="18">
        <v>0</v>
      </c>
      <c r="O1079" s="22" t="s">
        <v>1509</v>
      </c>
      <c r="Q1079" s="13">
        <v>11560</v>
      </c>
      <c r="R1079" s="13" t="s">
        <v>193</v>
      </c>
      <c r="S1079" s="13" t="s">
        <v>1510</v>
      </c>
      <c r="T1079" s="13" t="s">
        <v>16</v>
      </c>
      <c r="U1079" s="17">
        <f t="shared" si="33"/>
        <v>67200000</v>
      </c>
    </row>
    <row r="1080" spans="1:21" x14ac:dyDescent="0.3">
      <c r="A1080" s="13">
        <v>116</v>
      </c>
      <c r="B1080" s="13" t="str">
        <f>+VLOOKUP(A1080,'[1]PA 2023'!$A$8:$E$84,5)</f>
        <v>Mantener el banco de ayudas técnicas, tecnológicas e informáticas para personas con discapacidad que se encuentren en el registro de localización y caracterización.</v>
      </c>
      <c r="C1080" s="14">
        <v>2020680010121</v>
      </c>
      <c r="D1080" s="14" t="str">
        <f>+VLOOKUP(C1080,'[1]PA 2023'!$G$8:$H$84,2,FALSE)</f>
        <v>APOYO A LA OPERATIVIDAD DE LOS PROGRAMAS DE ATENCIÓN INTEGRAL A LAS PERSONAS CON DISCAPACIDAD. FAMILIARES Y/O CUIDADORES DEL MUNICIPIO DE BUCARAMANGA</v>
      </c>
      <c r="E1080" s="13" t="s">
        <v>2141</v>
      </c>
      <c r="F1080" s="15">
        <v>241</v>
      </c>
      <c r="G1080" s="22" t="s">
        <v>1925</v>
      </c>
      <c r="H1080" s="21" t="s">
        <v>1187</v>
      </c>
      <c r="I1080" s="13" t="s">
        <v>2142</v>
      </c>
      <c r="J1080" s="13" t="s">
        <v>2143</v>
      </c>
      <c r="K1080" s="16">
        <v>45190</v>
      </c>
      <c r="L1080" s="17">
        <v>199370000</v>
      </c>
      <c r="M1080" s="17">
        <v>199370000</v>
      </c>
      <c r="N1080" s="18">
        <v>0</v>
      </c>
      <c r="O1080" s="22" t="s">
        <v>2144</v>
      </c>
      <c r="Q1080" s="13">
        <v>11564</v>
      </c>
      <c r="R1080" s="23" t="s">
        <v>1626</v>
      </c>
      <c r="S1080" s="13" t="s">
        <v>2145</v>
      </c>
      <c r="T1080" s="13" t="s">
        <v>16</v>
      </c>
      <c r="U1080" s="17">
        <f t="shared" si="33"/>
        <v>199370000</v>
      </c>
    </row>
    <row r="1081" spans="1:21" x14ac:dyDescent="0.3">
      <c r="A1081" s="13">
        <v>116</v>
      </c>
      <c r="B1081" s="13" t="str">
        <f>+VLOOKUP(A1081,'[1]PA 2023'!$A$8:$E$84,5)</f>
        <v>Mantener el banco de ayudas técnicas, tecnológicas e informáticas para personas con discapacidad que se encuentren en el registro de localización y caracterización.</v>
      </c>
      <c r="C1081" s="14">
        <v>2020680010121</v>
      </c>
      <c r="D1081" s="14" t="str">
        <f>+VLOOKUP(C1081,'[1]PA 2023'!$G$8:$H$84,2,FALSE)</f>
        <v>APOYO A LA OPERATIVIDAD DE LOS PROGRAMAS DE ATENCIÓN INTEGRAL A LAS PERSONAS CON DISCAPACIDAD. FAMILIARES Y/O CUIDADORES DEL MUNICIPIO DE BUCARAMANGA</v>
      </c>
      <c r="E1081" s="13" t="s">
        <v>2141</v>
      </c>
      <c r="F1081" s="15">
        <v>241</v>
      </c>
      <c r="G1081" s="22" t="s">
        <v>1925</v>
      </c>
      <c r="H1081" s="21" t="s">
        <v>1187</v>
      </c>
      <c r="I1081" s="13" t="s">
        <v>2142</v>
      </c>
      <c r="J1081" s="13" t="s">
        <v>2146</v>
      </c>
      <c r="K1081" s="16">
        <v>45190</v>
      </c>
      <c r="L1081" s="17">
        <v>49595800</v>
      </c>
      <c r="M1081" s="17">
        <v>49595800</v>
      </c>
      <c r="N1081" s="18">
        <v>0</v>
      </c>
      <c r="O1081" s="22" t="s">
        <v>2144</v>
      </c>
      <c r="Q1081" s="13">
        <v>11564</v>
      </c>
      <c r="R1081" s="23" t="s">
        <v>193</v>
      </c>
      <c r="S1081" s="13" t="s">
        <v>2145</v>
      </c>
      <c r="T1081" s="13" t="s">
        <v>16</v>
      </c>
      <c r="U1081" s="17">
        <f t="shared" si="33"/>
        <v>49595800</v>
      </c>
    </row>
    <row r="1082" spans="1:21" x14ac:dyDescent="0.3">
      <c r="A1082" s="13">
        <v>234</v>
      </c>
      <c r="B1082" s="13" t="str">
        <f>+VLOOKUP(A1082,'[1]PA 2023'!$A$8:$E$84,5)</f>
        <v>Mantener la estrategia para la prevención, detección y atención de las violencias en adolescentes.</v>
      </c>
      <c r="C1082" s="14">
        <v>2021680010003</v>
      </c>
      <c r="D1082" s="14" t="str">
        <f>+VLOOKUP(C1082,'[1]PA 2023'!$G$8:$H$84,2,FALSE)</f>
        <v>IMPLEMENTACIÓN DE ESTRATEGIAS PSICOPEDAGÓGICAS PARA LA DISMINUCIÓN DE FACTORES DE RIESGO EN NIÑOS, NIÑAS Y ADOLESCENTES EN EL MUNICIPIO DE BUCARAMANGA</v>
      </c>
      <c r="E1082" s="13" t="s">
        <v>2147</v>
      </c>
      <c r="F1082" s="15">
        <v>243</v>
      </c>
      <c r="G1082" s="22" t="s">
        <v>1925</v>
      </c>
      <c r="H1082" s="21" t="s">
        <v>1187</v>
      </c>
      <c r="I1082" s="13" t="s">
        <v>2148</v>
      </c>
      <c r="J1082" s="13" t="s">
        <v>2149</v>
      </c>
      <c r="K1082" s="16">
        <v>45191</v>
      </c>
      <c r="L1082" s="17">
        <v>1838225</v>
      </c>
      <c r="M1082" s="17">
        <v>1838225</v>
      </c>
      <c r="N1082" s="18">
        <v>0</v>
      </c>
      <c r="O1082" s="22" t="s">
        <v>2150</v>
      </c>
      <c r="Q1082" s="13">
        <v>11569</v>
      </c>
      <c r="R1082" s="23" t="s">
        <v>164</v>
      </c>
      <c r="S1082" s="13" t="s">
        <v>2151</v>
      </c>
      <c r="T1082" s="13" t="s">
        <v>16</v>
      </c>
      <c r="U1082" s="17">
        <f t="shared" si="33"/>
        <v>1838225</v>
      </c>
    </row>
    <row r="1083" spans="1:21" x14ac:dyDescent="0.3">
      <c r="A1083" s="13">
        <v>95</v>
      </c>
      <c r="B1083" s="13" t="str">
        <f>+VLOOKUP(A1083,'[1]PA 2023'!$A$8:$E$84,5)</f>
        <v>Formular e implementar 1 estrategia que promueva  las actividades psicosociales, actividades artísticas y culturales,   actividades físicas y recreación y actividades productivas en las personas mayores.</v>
      </c>
      <c r="C1083" s="14">
        <v>2020680010040</v>
      </c>
      <c r="D1083" s="14" t="str">
        <f>+VLOOKUP(C1083,'[1]PA 2023'!$G$8:$H$84,2,FALSE)</f>
        <v>IMPLEMENTACIÓN DE ACCIONES TENDIENTES A MEJORAR LAS CONDICIONES DE LOS ADULTOS MAYORES DEL MUNICIPIO DE BUCARAMANGA</v>
      </c>
      <c r="E1083" s="13" t="s">
        <v>2147</v>
      </c>
      <c r="F1083" s="15">
        <v>243</v>
      </c>
      <c r="G1083" s="22" t="s">
        <v>1925</v>
      </c>
      <c r="H1083" s="21" t="s">
        <v>1187</v>
      </c>
      <c r="I1083" s="13" t="s">
        <v>2148</v>
      </c>
      <c r="J1083" s="13" t="s">
        <v>2152</v>
      </c>
      <c r="K1083" s="16">
        <v>45191</v>
      </c>
      <c r="L1083" s="17">
        <v>31626775</v>
      </c>
      <c r="M1083" s="17">
        <v>31626775</v>
      </c>
      <c r="N1083" s="18">
        <v>0</v>
      </c>
      <c r="O1083" s="22" t="s">
        <v>2150</v>
      </c>
      <c r="Q1083" s="13">
        <v>11569</v>
      </c>
      <c r="R1083" s="23" t="s">
        <v>1556</v>
      </c>
      <c r="S1083" s="13" t="s">
        <v>2151</v>
      </c>
      <c r="T1083" s="13" t="s">
        <v>16</v>
      </c>
      <c r="U1083" s="17">
        <f t="shared" si="33"/>
        <v>31626775</v>
      </c>
    </row>
    <row r="1084" spans="1:21" x14ac:dyDescent="0.3">
      <c r="A1084" s="13">
        <v>95</v>
      </c>
      <c r="B1084" s="13" t="str">
        <f>+VLOOKUP(A1084,'[1]PA 2023'!$A$8:$E$84,5)</f>
        <v>Formular e implementar 1 estrategia que promueva  las actividades psicosociales, actividades artísticas y culturales,   actividades físicas y recreación y actividades productivas en las personas mayores.</v>
      </c>
      <c r="C1084" s="14">
        <v>2020680010040</v>
      </c>
      <c r="D1084" s="14" t="str">
        <f>+VLOOKUP(C1084,'[1]PA 2023'!$G$8:$H$84,2,FALSE)</f>
        <v>IMPLEMENTACIÓN DE ACCIONES TENDIENTES A MEJORAR LAS CONDICIONES DE LOS ADULTOS MAYORES DEL MUNICIPIO DE BUCARAMANGA</v>
      </c>
      <c r="E1084" s="13" t="s">
        <v>2147</v>
      </c>
      <c r="F1084" s="15">
        <v>242</v>
      </c>
      <c r="G1084" s="22" t="s">
        <v>1925</v>
      </c>
      <c r="H1084" s="21" t="s">
        <v>1187</v>
      </c>
      <c r="I1084" s="13" t="s">
        <v>2153</v>
      </c>
      <c r="J1084" s="13" t="s">
        <v>2154</v>
      </c>
      <c r="K1084" s="16">
        <v>45191</v>
      </c>
      <c r="L1084" s="17">
        <v>21875596</v>
      </c>
      <c r="M1084" s="17">
        <v>21875596</v>
      </c>
      <c r="N1084" s="18">
        <v>0</v>
      </c>
      <c r="O1084" s="22" t="s">
        <v>2150</v>
      </c>
      <c r="Q1084" s="13">
        <v>11570</v>
      </c>
      <c r="R1084" s="23" t="s">
        <v>1556</v>
      </c>
      <c r="S1084" s="13" t="s">
        <v>2155</v>
      </c>
      <c r="T1084" s="13" t="s">
        <v>16</v>
      </c>
      <c r="U1084" s="17">
        <f t="shared" si="33"/>
        <v>21875596</v>
      </c>
    </row>
    <row r="1085" spans="1:21" x14ac:dyDescent="0.3">
      <c r="A1085" s="13">
        <v>117</v>
      </c>
      <c r="B1085" s="13" t="str">
        <f>+VLOOKUP(A1085,'[1]PA 2023'!$A$8:$E$84,5)</f>
        <v>Formular e implementar 1 estrategia de orientación ocupacional, aprovechamiento del tiempo libre, formación y esparcimiento cultural y actividades que mejoren la calidad de vida dirigidas a personas con discapacidad.</v>
      </c>
      <c r="C1085" s="14">
        <v>2020680010121</v>
      </c>
      <c r="D1085" s="14" t="str">
        <f>+VLOOKUP(C1085,'[1]PA 2023'!$G$8:$H$84,2,FALSE)</f>
        <v>APOYO A LA OPERATIVIDAD DE LOS PROGRAMAS DE ATENCIÓN INTEGRAL A LAS PERSONAS CON DISCAPACIDAD. FAMILIARES Y/O CUIDADORES DEL MUNICIPIO DE BUCARAMANGA</v>
      </c>
      <c r="E1085" s="13" t="s">
        <v>2147</v>
      </c>
      <c r="F1085" s="15">
        <v>242</v>
      </c>
      <c r="G1085" s="22" t="s">
        <v>1925</v>
      </c>
      <c r="H1085" s="21" t="s">
        <v>1187</v>
      </c>
      <c r="I1085" s="13" t="s">
        <v>2153</v>
      </c>
      <c r="J1085" s="13" t="s">
        <v>2156</v>
      </c>
      <c r="K1085" s="16">
        <v>45191</v>
      </c>
      <c r="L1085" s="17">
        <v>9829248</v>
      </c>
      <c r="M1085" s="17">
        <v>9829248</v>
      </c>
      <c r="N1085" s="18">
        <v>0</v>
      </c>
      <c r="O1085" s="22" t="s">
        <v>2150</v>
      </c>
      <c r="Q1085" s="13">
        <v>11570</v>
      </c>
      <c r="R1085" s="23" t="s">
        <v>1626</v>
      </c>
      <c r="S1085" s="13" t="s">
        <v>2155</v>
      </c>
      <c r="T1085" s="13" t="s">
        <v>16</v>
      </c>
      <c r="U1085" s="17">
        <f t="shared" si="33"/>
        <v>9829248</v>
      </c>
    </row>
    <row r="1086" spans="1:21" x14ac:dyDescent="0.3">
      <c r="A1086" s="13">
        <v>283</v>
      </c>
      <c r="B1086" s="13" t="str">
        <f>+VLOOKUP(A1086,'[1]PA 2023'!$A$8:$E$84,5)</f>
        <v>Formular e implementar 1 estrategia que fortalezca la democracia participativa (Ley 1757 de 2015).</v>
      </c>
      <c r="C1086" s="14">
        <v>2022680010035</v>
      </c>
      <c r="D1086" s="14" t="str">
        <f>+VLOOKUP(C1086,'[1]PA 2023'!$G$8:$H$84,2,FALSE)</f>
        <v>FORTALECIMIENTO DE LA PARTICIPACIÓN E INCIDENCIA DE LAS EXPRESIONES E INSTITUCIONES DEMOCRÁTICAS JUVENILES DE LA CIUDAD DE BUCARAMANGA</v>
      </c>
      <c r="E1086" s="13" t="s">
        <v>2147</v>
      </c>
      <c r="F1086" s="15">
        <v>242</v>
      </c>
      <c r="G1086" s="22" t="s">
        <v>1925</v>
      </c>
      <c r="H1086" s="21" t="s">
        <v>1187</v>
      </c>
      <c r="I1086" s="13" t="s">
        <v>2153</v>
      </c>
      <c r="J1086" s="13" t="s">
        <v>2157</v>
      </c>
      <c r="K1086" s="16">
        <v>45191</v>
      </c>
      <c r="L1086" s="17">
        <v>608622</v>
      </c>
      <c r="M1086" s="17">
        <v>608622</v>
      </c>
      <c r="N1086" s="18">
        <v>0</v>
      </c>
      <c r="O1086" s="22" t="s">
        <v>2150</v>
      </c>
      <c r="Q1086" s="13">
        <v>11570</v>
      </c>
      <c r="R1086" s="23" t="s">
        <v>134</v>
      </c>
      <c r="S1086" s="13" t="s">
        <v>2155</v>
      </c>
      <c r="T1086" s="13" t="s">
        <v>16</v>
      </c>
      <c r="U1086" s="17">
        <f t="shared" si="33"/>
        <v>608622</v>
      </c>
    </row>
    <row r="1087" spans="1:21" x14ac:dyDescent="0.3">
      <c r="A1087" s="13">
        <v>283</v>
      </c>
      <c r="B1087" s="13" t="str">
        <f>+VLOOKUP(A1087,'[1]PA 2023'!$A$8:$E$84,5)</f>
        <v>Formular e implementar 1 estrategia que fortalezca la democracia participativa (Ley 1757 de 2015).</v>
      </c>
      <c r="C1087" s="14">
        <v>2022680010035</v>
      </c>
      <c r="D1087" s="14" t="str">
        <f>+VLOOKUP(C1087,'[1]PA 2023'!$G$8:$H$84,2,FALSE)</f>
        <v>FORTALECIMIENTO DE LA PARTICIPACIÓN E INCIDENCIA DE LAS EXPRESIONES E INSTITUCIONES DEMOCRÁTICAS JUVENILES DE LA CIUDAD DE BUCARAMANGA</v>
      </c>
      <c r="E1087" s="13" t="s">
        <v>2147</v>
      </c>
      <c r="F1087" s="15">
        <v>242</v>
      </c>
      <c r="G1087" s="22" t="s">
        <v>1925</v>
      </c>
      <c r="H1087" s="21" t="s">
        <v>1187</v>
      </c>
      <c r="I1087" s="13" t="s">
        <v>2153</v>
      </c>
      <c r="J1087" s="13" t="s">
        <v>2158</v>
      </c>
      <c r="K1087" s="16">
        <v>45191</v>
      </c>
      <c r="L1087" s="17">
        <v>1687134</v>
      </c>
      <c r="M1087" s="17">
        <v>1687134</v>
      </c>
      <c r="N1087" s="18">
        <v>0</v>
      </c>
      <c r="O1087" s="22" t="s">
        <v>2150</v>
      </c>
      <c r="Q1087" s="13">
        <v>11570</v>
      </c>
      <c r="R1087" s="23" t="s">
        <v>134</v>
      </c>
      <c r="S1087" s="13" t="s">
        <v>2155</v>
      </c>
      <c r="T1087" s="13" t="s">
        <v>16</v>
      </c>
      <c r="U1087" s="17">
        <f t="shared" si="33"/>
        <v>1687134</v>
      </c>
    </row>
    <row r="1088" spans="1:21" x14ac:dyDescent="0.3">
      <c r="A1088" s="13">
        <v>71</v>
      </c>
      <c r="B1088" s="13" t="str">
        <f>+VLOOKUP(A1088,'[1]PA 2023'!$A$8:$E$84,5)</f>
        <v>Formular e implementar 1 estrategia de corresponsabilidad en la garantía de derechos, la prevención de vulneración, amenaza o riesgo en el ámbito familiar, comunitario e institucional.</v>
      </c>
      <c r="C1088" s="14">
        <v>2021680010003</v>
      </c>
      <c r="D1088" s="14" t="str">
        <f>+VLOOKUP(C1088,'[1]PA 2023'!$G$8:$H$84,2,FALSE)</f>
        <v>IMPLEMENTACIÓN DE ESTRATEGIAS PSICOPEDAGÓGICAS PARA LA DISMINUCIÓN DE FACTORES DE RIESGO EN NIÑOS, NIÑAS Y ADOLESCENTES EN EL MUNICIPIO DE BUCARAMANGA</v>
      </c>
      <c r="E1088" s="13" t="s">
        <v>2147</v>
      </c>
      <c r="F1088" s="15">
        <v>242</v>
      </c>
      <c r="G1088" s="22" t="s">
        <v>1925</v>
      </c>
      <c r="H1088" s="21" t="s">
        <v>1187</v>
      </c>
      <c r="I1088" s="13" t="s">
        <v>2153</v>
      </c>
      <c r="J1088" s="13" t="s">
        <v>2159</v>
      </c>
      <c r="K1088" s="16">
        <v>45191</v>
      </c>
      <c r="L1088" s="17">
        <v>2758542</v>
      </c>
      <c r="M1088" s="18">
        <v>2758542</v>
      </c>
      <c r="N1088" s="18">
        <v>0</v>
      </c>
      <c r="O1088" s="22" t="s">
        <v>2150</v>
      </c>
      <c r="Q1088" s="13">
        <v>11570</v>
      </c>
      <c r="R1088" s="23" t="s">
        <v>164</v>
      </c>
      <c r="S1088" s="13" t="s">
        <v>2155</v>
      </c>
      <c r="T1088" s="13" t="s">
        <v>16</v>
      </c>
      <c r="U1088" s="17">
        <f t="shared" ref="U1088:U1097" si="34">+M1088-N1088</f>
        <v>2758542</v>
      </c>
    </row>
    <row r="1089" spans="1:21" x14ac:dyDescent="0.3">
      <c r="A1089" s="13">
        <v>95</v>
      </c>
      <c r="B1089" s="13" t="str">
        <f>+VLOOKUP(A1089,'[1]PA 2023'!$A$8:$E$84,5)</f>
        <v>Formular e implementar 1 estrategia que promueva  las actividades psicosociales, actividades artísticas y culturales,   actividades físicas y recreación y actividades productivas en las personas mayores.</v>
      </c>
      <c r="C1089" s="14">
        <v>2020680010040</v>
      </c>
      <c r="D1089" s="14" t="str">
        <f>+VLOOKUP(C1089,'[1]PA 2023'!$G$8:$H$84,2,FALSE)</f>
        <v>IMPLEMENTACIÓN DE ACCIONES TENDIENTES A MEJORAR LAS CONDICIONES DE LOS ADULTOS MAYORES DEL MUNICIPIO DE BUCARAMANGA</v>
      </c>
      <c r="E1089" s="13" t="s">
        <v>2147</v>
      </c>
      <c r="F1089" s="15">
        <v>242</v>
      </c>
      <c r="G1089" s="22" t="s">
        <v>1925</v>
      </c>
      <c r="H1089" s="21" t="s">
        <v>1187</v>
      </c>
      <c r="I1089" s="13" t="s">
        <v>2153</v>
      </c>
      <c r="J1089" s="13" t="s">
        <v>2152</v>
      </c>
      <c r="K1089" s="16">
        <v>45191</v>
      </c>
      <c r="L1089" s="17">
        <v>52358144</v>
      </c>
      <c r="M1089" s="17">
        <v>52358144</v>
      </c>
      <c r="N1089" s="18">
        <v>0</v>
      </c>
      <c r="O1089" s="22" t="s">
        <v>2150</v>
      </c>
      <c r="Q1089" s="13">
        <v>11570</v>
      </c>
      <c r="R1089" s="23" t="s">
        <v>1556</v>
      </c>
      <c r="S1089" s="13" t="s">
        <v>2155</v>
      </c>
      <c r="T1089" s="13" t="s">
        <v>16</v>
      </c>
      <c r="U1089" s="17">
        <f t="shared" si="34"/>
        <v>52358144</v>
      </c>
    </row>
    <row r="1090" spans="1:21" x14ac:dyDescent="0.3">
      <c r="A1090" s="13">
        <v>71</v>
      </c>
      <c r="B1090" s="13" t="str">
        <f>+VLOOKUP(A1090,'[1]PA 2023'!$A$8:$E$84,5)</f>
        <v>Formular e implementar 1 estrategia de corresponsabilidad en la garantía de derechos, la prevención de vulneración, amenaza o riesgo en el ámbito familiar, comunitario e institucional.</v>
      </c>
      <c r="C1090" s="14">
        <v>2021680010003</v>
      </c>
      <c r="D1090" s="14" t="str">
        <f>+VLOOKUP(C1090,'[1]PA 2023'!$G$8:$H$84,2,FALSE)</f>
        <v>IMPLEMENTACIÓN DE ESTRATEGIAS PSICOPEDAGÓGICAS PARA LA DISMINUCIÓN DE FACTORES DE RIESGO EN NIÑOS, NIÑAS Y ADOLESCENTES EN EL MUNICIPIO DE BUCARAMANGA</v>
      </c>
      <c r="E1090" s="13" t="s">
        <v>2147</v>
      </c>
      <c r="F1090" s="15">
        <v>242</v>
      </c>
      <c r="G1090" s="22" t="s">
        <v>1925</v>
      </c>
      <c r="H1090" s="21" t="s">
        <v>1187</v>
      </c>
      <c r="I1090" s="13" t="s">
        <v>2153</v>
      </c>
      <c r="J1090" s="13" t="s">
        <v>2160</v>
      </c>
      <c r="K1090" s="16">
        <v>45191</v>
      </c>
      <c r="L1090" s="17">
        <v>43082714</v>
      </c>
      <c r="M1090" s="18">
        <v>43082714</v>
      </c>
      <c r="N1090" s="18">
        <v>0</v>
      </c>
      <c r="O1090" s="22" t="s">
        <v>2150</v>
      </c>
      <c r="Q1090" s="13">
        <v>11570</v>
      </c>
      <c r="R1090" s="23" t="s">
        <v>2161</v>
      </c>
      <c r="S1090" s="13" t="s">
        <v>2155</v>
      </c>
      <c r="T1090" s="13" t="s">
        <v>16</v>
      </c>
      <c r="U1090" s="17">
        <f t="shared" si="34"/>
        <v>43082714</v>
      </c>
    </row>
    <row r="1091" spans="1:21" x14ac:dyDescent="0.3">
      <c r="A1091" s="13">
        <v>71</v>
      </c>
      <c r="B1091" s="13" t="str">
        <f>+VLOOKUP(A1091,'[1]PA 2023'!$A$8:$E$84,5)</f>
        <v>Formular e implementar 1 estrategia de corresponsabilidad en la garantía de derechos, la prevención de vulneración, amenaza o riesgo en el ámbito familiar, comunitario e institucional.</v>
      </c>
      <c r="C1091" s="14">
        <v>2022680010056</v>
      </c>
      <c r="D1091" s="14" t="str">
        <f>+VLOOKUP(C1091,'[1]PA 2023'!$G$8:$H$84,2,FALSE)</f>
        <v>APOYO EN LOS PROCESOS DE ATENCIÓN INTEGRAL DE LOS NIÑOS Y NIÑAS EN EL ESPACIO DE CUIDADO Y ALBERGUE "CASA BÚHO" EN EL MUNICIPIO DE BUCARAMANGA</v>
      </c>
      <c r="E1091" s="13" t="s">
        <v>2162</v>
      </c>
      <c r="F1091" s="15" t="s">
        <v>22</v>
      </c>
      <c r="G1091" s="22" t="s">
        <v>23</v>
      </c>
      <c r="H1091" s="21" t="s">
        <v>23</v>
      </c>
      <c r="I1091" s="13" t="s">
        <v>260</v>
      </c>
      <c r="J1091" s="13" t="s">
        <v>970</v>
      </c>
      <c r="K1091" s="16">
        <v>45194</v>
      </c>
      <c r="L1091" s="17">
        <v>2513437</v>
      </c>
      <c r="M1091" s="17">
        <v>2513437</v>
      </c>
      <c r="N1091" s="18">
        <v>2513437</v>
      </c>
      <c r="O1091" s="15" t="s">
        <v>23</v>
      </c>
      <c r="Q1091" s="13">
        <v>11600</v>
      </c>
      <c r="R1091" s="13" t="s">
        <v>170</v>
      </c>
      <c r="S1091" s="13" t="s">
        <v>261</v>
      </c>
      <c r="T1091" s="13" t="s">
        <v>16</v>
      </c>
      <c r="U1091" s="17">
        <f t="shared" si="34"/>
        <v>0</v>
      </c>
    </row>
    <row r="1092" spans="1:21" x14ac:dyDescent="0.3">
      <c r="A1092" s="13">
        <v>93</v>
      </c>
      <c r="B1092" s="13" t="str">
        <f>+VLOOKUP(A1092,'[1]PA 2023'!$A$8:$E$84,5)</f>
        <v>Mantener en funcionamiento los 3 Centros Vida con la prestacion de servicios integrales y/o dotacion de los mismos cumpliendo con la oferta institucional.</v>
      </c>
      <c r="C1092" s="14">
        <v>2020680010040</v>
      </c>
      <c r="D1092" s="14" t="str">
        <f>+VLOOKUP(C1092,'[1]PA 2023'!$G$8:$H$84,2,FALSE)</f>
        <v>IMPLEMENTACIÓN DE ACCIONES TENDIENTES A MEJORAR LAS CONDICIONES DE LOS ADULTOS MAYORES DEL MUNICIPIO DE BUCARAMANGA</v>
      </c>
      <c r="E1092" s="13" t="s">
        <v>2163</v>
      </c>
      <c r="F1092" s="15" t="s">
        <v>22</v>
      </c>
      <c r="G1092" s="22" t="s">
        <v>23</v>
      </c>
      <c r="H1092" s="21" t="s">
        <v>23</v>
      </c>
      <c r="I1092" s="13" t="s">
        <v>260</v>
      </c>
      <c r="J1092" s="13" t="s">
        <v>25</v>
      </c>
      <c r="K1092" s="16">
        <v>45194</v>
      </c>
      <c r="L1092" s="17">
        <v>3831305</v>
      </c>
      <c r="M1092" s="17">
        <v>3831305</v>
      </c>
      <c r="N1092" s="18">
        <v>3831305</v>
      </c>
      <c r="O1092" s="15" t="s">
        <v>23</v>
      </c>
      <c r="Q1092" s="13">
        <v>11601</v>
      </c>
      <c r="R1092" s="13" t="s">
        <v>26</v>
      </c>
      <c r="S1092" s="13" t="s">
        <v>261</v>
      </c>
      <c r="T1092" s="13" t="s">
        <v>16</v>
      </c>
      <c r="U1092" s="17">
        <f t="shared" si="34"/>
        <v>0</v>
      </c>
    </row>
    <row r="1093" spans="1:21" x14ac:dyDescent="0.3">
      <c r="A1093" s="13">
        <v>285</v>
      </c>
      <c r="B1093" s="13" t="str">
        <f>+VLOOKUP(A1093,'[1]PA 2023'!$A$8:$E$84,5)</f>
        <v>Mantener en funcionamiento el 100% de los salones comunales que hacen parte del programa Ágoras.</v>
      </c>
      <c r="C1093" s="14">
        <v>2022680010029</v>
      </c>
      <c r="D1093" s="14" t="str">
        <f>+VLOOKUP(C1093,'[1]PA 2023'!$G$8:$H$84,2,FALSE)</f>
        <v>FORTALECIMIENTO DE LA PARTICIPACIÓN CIUDADANA EN EL MUNICIPIO DE BUCARAMANGA</v>
      </c>
      <c r="E1093" s="13" t="s">
        <v>2164</v>
      </c>
      <c r="F1093" s="15" t="s">
        <v>22</v>
      </c>
      <c r="G1093" s="22" t="s">
        <v>23</v>
      </c>
      <c r="H1093" s="21" t="s">
        <v>23</v>
      </c>
      <c r="I1093" s="13" t="s">
        <v>260</v>
      </c>
      <c r="J1093" s="13" t="s">
        <v>1130</v>
      </c>
      <c r="K1093" s="16">
        <v>45194</v>
      </c>
      <c r="L1093" s="17">
        <v>266110</v>
      </c>
      <c r="M1093" s="17">
        <v>266110</v>
      </c>
      <c r="N1093" s="18">
        <v>266110</v>
      </c>
      <c r="O1093" s="15" t="s">
        <v>23</v>
      </c>
      <c r="Q1093" s="13">
        <v>11602</v>
      </c>
      <c r="R1093" s="13" t="s">
        <v>134</v>
      </c>
      <c r="S1093" s="13" t="s">
        <v>261</v>
      </c>
      <c r="T1093" s="13" t="s">
        <v>16</v>
      </c>
      <c r="U1093" s="17">
        <f t="shared" si="34"/>
        <v>0</v>
      </c>
    </row>
    <row r="1094" spans="1:21" x14ac:dyDescent="0.3">
      <c r="A1094" s="13">
        <v>285</v>
      </c>
      <c r="B1094" s="13" t="str">
        <f>+VLOOKUP(A1094,'[1]PA 2023'!$A$8:$E$84,5)</f>
        <v>Mantener en funcionamiento el 100% de los salones comunales que hacen parte del programa Ágoras.</v>
      </c>
      <c r="C1094" s="14">
        <v>2022680010029</v>
      </c>
      <c r="D1094" s="14" t="str">
        <f>+VLOOKUP(C1094,'[1]PA 2023'!$G$8:$H$84,2,FALSE)</f>
        <v>FORTALECIMIENTO DE LA PARTICIPACIÓN CIUDADANA EN EL MUNICIPIO DE BUCARAMANGA</v>
      </c>
      <c r="E1094" s="13" t="s">
        <v>2165</v>
      </c>
      <c r="F1094" s="15" t="s">
        <v>22</v>
      </c>
      <c r="G1094" s="22" t="s">
        <v>23</v>
      </c>
      <c r="H1094" s="21" t="s">
        <v>23</v>
      </c>
      <c r="I1094" s="13" t="s">
        <v>904</v>
      </c>
      <c r="J1094" s="13" t="s">
        <v>1130</v>
      </c>
      <c r="K1094" s="16">
        <v>45194</v>
      </c>
      <c r="L1094" s="17">
        <v>549994</v>
      </c>
      <c r="M1094" s="17">
        <v>549994</v>
      </c>
      <c r="N1094" s="18">
        <v>549994</v>
      </c>
      <c r="O1094" s="15" t="s">
        <v>23</v>
      </c>
      <c r="Q1094" s="13">
        <v>11603</v>
      </c>
      <c r="R1094" s="13" t="s">
        <v>134</v>
      </c>
      <c r="S1094" s="13" t="s">
        <v>905</v>
      </c>
      <c r="T1094" s="13" t="s">
        <v>16</v>
      </c>
      <c r="U1094" s="17">
        <f t="shared" si="34"/>
        <v>0</v>
      </c>
    </row>
    <row r="1095" spans="1:21" x14ac:dyDescent="0.3">
      <c r="A1095" s="13">
        <v>81</v>
      </c>
      <c r="B1095" s="13" t="str">
        <f>+VLOOKUP(A1095,'[1]PA 2023'!$A$8:$E$84,5)</f>
        <v>Desarrollar 3 jornadas de uso creativo del tiempo y emprendimiento que potencien sus competencias y motiven continuar en diferentes niveles de educación superior.</v>
      </c>
      <c r="C1095" s="14">
        <v>2021680010003</v>
      </c>
      <c r="D1095" s="14" t="str">
        <f>+VLOOKUP(C1095,'[1]PA 2023'!$G$8:$H$84,2,FALSE)</f>
        <v>IMPLEMENTACIÓN DE ESTRATEGIAS PSICOPEDAGÓGICAS PARA LA DISMINUCIÓN DE FACTORES DE RIESGO EN NIÑOS, NIÑAS Y ADOLESCENTES EN EL MUNICIPIO DE BUCARAMANGA</v>
      </c>
      <c r="E1095" s="13" t="s">
        <v>2166</v>
      </c>
      <c r="F1095" s="15">
        <v>235</v>
      </c>
      <c r="G1095" s="22" t="s">
        <v>1949</v>
      </c>
      <c r="H1095" s="21" t="s">
        <v>1901</v>
      </c>
      <c r="I1095" s="13" t="s">
        <v>2167</v>
      </c>
      <c r="J1095" s="13" t="s">
        <v>1578</v>
      </c>
      <c r="K1095" s="16">
        <v>45194</v>
      </c>
      <c r="L1095" s="17">
        <v>120203804</v>
      </c>
      <c r="M1095" s="17">
        <v>120203804</v>
      </c>
      <c r="N1095" s="18">
        <v>0</v>
      </c>
      <c r="O1095" s="22" t="s">
        <v>2168</v>
      </c>
      <c r="Q1095" s="13">
        <v>11612</v>
      </c>
      <c r="R1095" s="13" t="s">
        <v>1580</v>
      </c>
      <c r="S1095" s="13" t="s">
        <v>2169</v>
      </c>
      <c r="T1095" s="13" t="s">
        <v>16</v>
      </c>
      <c r="U1095" s="17">
        <f t="shared" si="34"/>
        <v>120203804</v>
      </c>
    </row>
    <row r="1096" spans="1:21" x14ac:dyDescent="0.3">
      <c r="A1096" s="13">
        <v>117</v>
      </c>
      <c r="B1096" s="13" t="str">
        <f>+VLOOKUP(A1096,'[1]PA 2023'!$A$8:$E$84,5)</f>
        <v>Formular e implementar 1 estrategia de orientación ocupacional, aprovechamiento del tiempo libre, formación y esparcimiento cultural y actividades que mejoren la calidad de vida dirigidas a personas con discapacidad.</v>
      </c>
      <c r="C1096" s="14">
        <v>2020680010121</v>
      </c>
      <c r="D1096" s="14" t="str">
        <f>+VLOOKUP(C1096,'[1]PA 2023'!$G$8:$H$84,2,FALSE)</f>
        <v>APOYO A LA OPERATIVIDAD DE LOS PROGRAMAS DE ATENCIÓN INTEGRAL A LAS PERSONAS CON DISCAPACIDAD. FAMILIARES Y/O CUIDADORES DEL MUNICIPIO DE BUCARAMANGA</v>
      </c>
      <c r="E1096" s="13" t="s">
        <v>2170</v>
      </c>
      <c r="F1096" s="15">
        <v>245</v>
      </c>
      <c r="G1096" s="22" t="s">
        <v>1165</v>
      </c>
      <c r="H1096" s="21" t="s">
        <v>1165</v>
      </c>
      <c r="I1096" s="13" t="s">
        <v>2171</v>
      </c>
      <c r="J1096" s="13" t="s">
        <v>2172</v>
      </c>
      <c r="K1096" s="16">
        <v>45196</v>
      </c>
      <c r="L1096" s="17">
        <v>1222925</v>
      </c>
      <c r="M1096" s="17">
        <v>1222925</v>
      </c>
      <c r="N1096" s="18">
        <v>0</v>
      </c>
      <c r="O1096" s="22" t="s">
        <v>2173</v>
      </c>
      <c r="Q1096" s="13">
        <v>11931</v>
      </c>
      <c r="R1096" s="23" t="s">
        <v>1626</v>
      </c>
      <c r="S1096" s="13" t="s">
        <v>2174</v>
      </c>
      <c r="T1096" s="13" t="s">
        <v>16</v>
      </c>
      <c r="U1096" s="17">
        <f t="shared" si="34"/>
        <v>1222925</v>
      </c>
    </row>
    <row r="1097" spans="1:21" x14ac:dyDescent="0.3">
      <c r="A1097" s="13">
        <v>117</v>
      </c>
      <c r="B1097" s="13" t="str">
        <f>+VLOOKUP(A1097,'[1]PA 2023'!$A$8:$E$84,5)</f>
        <v>Formular e implementar 1 estrategia de orientación ocupacional, aprovechamiento del tiempo libre, formación y esparcimiento cultural y actividades que mejoren la calidad de vida dirigidas a personas con discapacidad.</v>
      </c>
      <c r="C1097" s="14">
        <v>2020680010121</v>
      </c>
      <c r="D1097" s="14" t="str">
        <f>+VLOOKUP(C1097,'[1]PA 2023'!$G$8:$H$84,2,FALSE)</f>
        <v>APOYO A LA OPERATIVIDAD DE LOS PROGRAMAS DE ATENCIÓN INTEGRAL A LAS PERSONAS CON DISCAPACIDAD. FAMILIARES Y/O CUIDADORES DEL MUNICIPIO DE BUCARAMANGA</v>
      </c>
      <c r="E1097" s="13" t="s">
        <v>2170</v>
      </c>
      <c r="F1097" s="15">
        <v>245</v>
      </c>
      <c r="G1097" s="22" t="s">
        <v>1165</v>
      </c>
      <c r="H1097" s="21" t="s">
        <v>1165</v>
      </c>
      <c r="I1097" s="13" t="s">
        <v>2171</v>
      </c>
      <c r="J1097" s="13" t="s">
        <v>2175</v>
      </c>
      <c r="K1097" s="16">
        <v>45196</v>
      </c>
      <c r="L1097" s="17">
        <v>10481100</v>
      </c>
      <c r="M1097" s="17">
        <v>10481100</v>
      </c>
      <c r="N1097" s="18">
        <v>0</v>
      </c>
      <c r="O1097" s="22" t="s">
        <v>2173</v>
      </c>
      <c r="Q1097" s="13">
        <v>11931</v>
      </c>
      <c r="R1097" s="23" t="s">
        <v>1626</v>
      </c>
      <c r="S1097" s="13" t="s">
        <v>2174</v>
      </c>
      <c r="T1097" s="13" t="s">
        <v>16</v>
      </c>
      <c r="U1097" s="17">
        <f t="shared" si="34"/>
        <v>10481100</v>
      </c>
    </row>
    <row r="1098" spans="1:21" x14ac:dyDescent="0.3">
      <c r="E1098" s="28"/>
      <c r="F1098" s="29"/>
      <c r="G1098" s="30"/>
      <c r="H1098" s="19"/>
      <c r="I1098" s="28"/>
      <c r="J1098" s="28"/>
      <c r="K1098" s="31"/>
      <c r="L1098" s="32"/>
      <c r="M1098" s="32"/>
      <c r="N1098" s="33"/>
      <c r="P1098" s="20"/>
      <c r="Q1098" s="34"/>
      <c r="R1098" s="33"/>
      <c r="S1098" s="19"/>
      <c r="T1098" s="28"/>
      <c r="U1098" s="17"/>
    </row>
    <row r="1099" spans="1:21" x14ac:dyDescent="0.3">
      <c r="G1099" s="30"/>
      <c r="H1099" s="30"/>
      <c r="I1099" s="28"/>
      <c r="J1099" s="32"/>
      <c r="K1099" s="36"/>
      <c r="L1099" s="32"/>
      <c r="M1099" s="32"/>
      <c r="N1099" s="33"/>
      <c r="P1099" s="20"/>
      <c r="Q1099" s="34"/>
      <c r="R1099" s="33"/>
      <c r="S1099" s="19"/>
      <c r="T1099" s="28"/>
      <c r="U1099" s="17"/>
    </row>
    <row r="1100" spans="1:21" x14ac:dyDescent="0.3">
      <c r="G1100" s="30"/>
      <c r="H1100" s="30"/>
      <c r="L1100" s="37">
        <f>SUM(L5:L1099)</f>
        <v>26588619817.989998</v>
      </c>
      <c r="M1100" s="37">
        <f>SUM(M5:M1099)</f>
        <v>26588619817.989998</v>
      </c>
      <c r="N1100" s="37">
        <f>SUM(N5:N1099)</f>
        <v>14902778457.929995</v>
      </c>
      <c r="Q1100" s="2" t="s">
        <v>2176</v>
      </c>
      <c r="T1100" s="20"/>
      <c r="U1100" s="37">
        <f>SUM(U5:U1099)</f>
        <v>12819788858.300001</v>
      </c>
    </row>
    <row r="1101" spans="1:21" x14ac:dyDescent="0.3">
      <c r="A1101" s="2"/>
      <c r="B1101" s="2"/>
      <c r="C1101" s="38"/>
      <c r="G1101" s="30"/>
      <c r="H1101" s="30"/>
      <c r="L1101" s="39">
        <v>26588619817.990002</v>
      </c>
      <c r="M1101" s="39">
        <v>26588619817.990002</v>
      </c>
      <c r="N1101" s="39">
        <v>14902778457.93</v>
      </c>
      <c r="T1101" s="20"/>
      <c r="U1101" s="41">
        <v>11685841360.059999</v>
      </c>
    </row>
    <row r="1102" spans="1:21" x14ac:dyDescent="0.3">
      <c r="G1102" s="30"/>
      <c r="H1102" s="30"/>
      <c r="L1102" s="37">
        <f>+L1101-L1100</f>
        <v>0</v>
      </c>
      <c r="M1102" s="37">
        <f>+M1101-M1100</f>
        <v>0</v>
      </c>
      <c r="N1102" s="42">
        <f>+N1100-N1101</f>
        <v>0</v>
      </c>
      <c r="U1102" s="33">
        <f>+U1100-U1101</f>
        <v>1133947498.2400017</v>
      </c>
    </row>
    <row r="1103" spans="1:21" x14ac:dyDescent="0.3">
      <c r="G1103" s="30"/>
      <c r="H1103" s="30"/>
      <c r="U1103" s="33"/>
    </row>
    <row r="1104" spans="1:21" x14ac:dyDescent="0.3">
      <c r="A1104" s="44"/>
      <c r="B1104" s="44"/>
      <c r="G1104" s="30"/>
      <c r="H1104" s="30"/>
      <c r="L1104" s="43">
        <v>17829800</v>
      </c>
      <c r="U1104" s="33"/>
    </row>
    <row r="1105" spans="3:21" x14ac:dyDescent="0.3">
      <c r="G1105" s="30"/>
      <c r="H1105" s="30"/>
      <c r="K1105" s="45"/>
      <c r="N1105" s="42">
        <f>+M1101-N1101</f>
        <v>11685841360.060001</v>
      </c>
      <c r="P1105" s="46"/>
      <c r="U1105" s="33"/>
    </row>
    <row r="1106" spans="3:21" x14ac:dyDescent="0.3">
      <c r="G1106" s="30"/>
      <c r="H1106" s="30"/>
      <c r="M1106" s="45"/>
      <c r="U1106" s="33"/>
    </row>
    <row r="1107" spans="3:21" x14ac:dyDescent="0.3">
      <c r="C1107" s="20"/>
      <c r="F1107" s="47"/>
      <c r="G1107" s="30"/>
      <c r="H1107" s="30"/>
      <c r="L1107" s="45"/>
      <c r="Q1107" s="20"/>
      <c r="T1107" s="20"/>
      <c r="U1107" s="33"/>
    </row>
    <row r="1108" spans="3:21" x14ac:dyDescent="0.3">
      <c r="G1108" s="30"/>
      <c r="H1108" s="30"/>
      <c r="U1108" s="33"/>
    </row>
    <row r="1109" spans="3:21" x14ac:dyDescent="0.3">
      <c r="G1109" s="30"/>
      <c r="H1109" s="30"/>
      <c r="U1109" s="33"/>
    </row>
    <row r="1110" spans="3:21" x14ac:dyDescent="0.3">
      <c r="G1110" s="30"/>
      <c r="H1110" s="30"/>
      <c r="U1110" s="33"/>
    </row>
    <row r="1111" spans="3:21" x14ac:dyDescent="0.3">
      <c r="G1111" s="30"/>
      <c r="H1111" s="30"/>
      <c r="U1111" s="33"/>
    </row>
    <row r="1112" spans="3:21" x14ac:dyDescent="0.3">
      <c r="G1112" s="30"/>
      <c r="H1112" s="30"/>
      <c r="U1112" s="33"/>
    </row>
    <row r="1113" spans="3:21" x14ac:dyDescent="0.3">
      <c r="G1113" s="30"/>
      <c r="H1113" s="30"/>
      <c r="U1113" s="33"/>
    </row>
    <row r="1114" spans="3:21" x14ac:dyDescent="0.3">
      <c r="G1114" s="30"/>
      <c r="H1114" s="30"/>
      <c r="U1114" s="33"/>
    </row>
    <row r="1115" spans="3:21" x14ac:dyDescent="0.3">
      <c r="G1115" s="30"/>
      <c r="H1115" s="30"/>
      <c r="U1115" s="33"/>
    </row>
    <row r="1116" spans="3:21" x14ac:dyDescent="0.3">
      <c r="G1116" s="30"/>
      <c r="H1116" s="30"/>
      <c r="U1116" s="33"/>
    </row>
    <row r="1117" spans="3:21" x14ac:dyDescent="0.3">
      <c r="G1117" s="30"/>
      <c r="H1117" s="30"/>
      <c r="U1117" s="33"/>
    </row>
    <row r="1118" spans="3:21" x14ac:dyDescent="0.3">
      <c r="C1118" s="48"/>
      <c r="G1118" s="30"/>
      <c r="H1118" s="30"/>
      <c r="M1118" s="48"/>
      <c r="U1118" s="33"/>
    </row>
    <row r="1119" spans="3:21" x14ac:dyDescent="0.3">
      <c r="C1119" s="48"/>
      <c r="G1119" s="30"/>
      <c r="H1119" s="30"/>
      <c r="M1119" s="48"/>
      <c r="U1119" s="33"/>
    </row>
    <row r="1120" spans="3:21" x14ac:dyDescent="0.3">
      <c r="C1120" s="48"/>
      <c r="F1120" s="49"/>
      <c r="G1120" s="30"/>
      <c r="H1120" s="30"/>
      <c r="I1120" s="48"/>
      <c r="L1120" s="48"/>
      <c r="M1120" s="48"/>
      <c r="U1120" s="33"/>
    </row>
    <row r="1121" spans="3:21" x14ac:dyDescent="0.3">
      <c r="C1121" s="48"/>
      <c r="F1121" s="49"/>
      <c r="G1121" s="30"/>
      <c r="H1121" s="30"/>
      <c r="I1121" s="48"/>
      <c r="L1121" s="48"/>
      <c r="M1121" s="48"/>
      <c r="U1121" s="33"/>
    </row>
    <row r="1122" spans="3:21" x14ac:dyDescent="0.3">
      <c r="C1122" s="48"/>
      <c r="F1122" s="49"/>
      <c r="G1122" s="30"/>
      <c r="H1122" s="30"/>
      <c r="I1122" s="48"/>
      <c r="L1122" s="48"/>
      <c r="M1122" s="48"/>
      <c r="U1122" s="33"/>
    </row>
    <row r="1123" spans="3:21" x14ac:dyDescent="0.3">
      <c r="C1123" s="48"/>
      <c r="F1123" s="49"/>
      <c r="G1123" s="30"/>
      <c r="H1123" s="30"/>
      <c r="I1123" s="48"/>
      <c r="L1123" s="48"/>
      <c r="M1123" s="48"/>
      <c r="U1123" s="33"/>
    </row>
    <row r="1124" spans="3:21" x14ac:dyDescent="0.3">
      <c r="G1124" s="30"/>
      <c r="H1124" s="30"/>
      <c r="U1124" s="33"/>
    </row>
    <row r="1125" spans="3:21" x14ac:dyDescent="0.3">
      <c r="G1125" s="30"/>
      <c r="H1125" s="30"/>
      <c r="I1125" s="50"/>
      <c r="U1125" s="33"/>
    </row>
    <row r="1126" spans="3:21" x14ac:dyDescent="0.3">
      <c r="G1126" s="30"/>
      <c r="H1126" s="30"/>
    </row>
    <row r="1127" spans="3:21" x14ac:dyDescent="0.3">
      <c r="G1127" s="30"/>
      <c r="H1127" s="30"/>
    </row>
    <row r="1128" spans="3:21" x14ac:dyDescent="0.3">
      <c r="G1128" s="30"/>
      <c r="H1128" s="30"/>
    </row>
    <row r="1129" spans="3:21" x14ac:dyDescent="0.3">
      <c r="G1129" s="30"/>
      <c r="H1129" s="30"/>
    </row>
    <row r="1130" spans="3:21" x14ac:dyDescent="0.3">
      <c r="G1130" s="30"/>
      <c r="H1130" s="30"/>
    </row>
    <row r="1131" spans="3:21" x14ac:dyDescent="0.3">
      <c r="G1131" s="30"/>
      <c r="H1131" s="30"/>
    </row>
    <row r="1132" spans="3:21" x14ac:dyDescent="0.3">
      <c r="G1132" s="30"/>
      <c r="H1132" s="30"/>
    </row>
    <row r="1133" spans="3:21" x14ac:dyDescent="0.3">
      <c r="G1133" s="30"/>
      <c r="H1133" s="30"/>
    </row>
    <row r="1134" spans="3:21" x14ac:dyDescent="0.3">
      <c r="G1134" s="30"/>
      <c r="H1134" s="30"/>
    </row>
    <row r="1135" spans="3:21" x14ac:dyDescent="0.3">
      <c r="G1135" s="30"/>
      <c r="H1135" s="30"/>
    </row>
    <row r="1136" spans="3:21" x14ac:dyDescent="0.3">
      <c r="G1136" s="30"/>
      <c r="H1136" s="30"/>
    </row>
    <row r="1137" spans="7:8" x14ac:dyDescent="0.3">
      <c r="G1137" s="30"/>
      <c r="H1137" s="30"/>
    </row>
    <row r="1138" spans="7:8" x14ac:dyDescent="0.3">
      <c r="G1138" s="30"/>
      <c r="H1138" s="30"/>
    </row>
    <row r="1139" spans="7:8" x14ac:dyDescent="0.3">
      <c r="G1139" s="30"/>
      <c r="H1139" s="30"/>
    </row>
    <row r="1140" spans="7:8" x14ac:dyDescent="0.3">
      <c r="G1140" s="30"/>
      <c r="H1140" s="30"/>
    </row>
    <row r="1141" spans="7:8" x14ac:dyDescent="0.3">
      <c r="G1141" s="30"/>
      <c r="H1141" s="30"/>
    </row>
    <row r="1142" spans="7:8" x14ac:dyDescent="0.3">
      <c r="G1142" s="30"/>
      <c r="H1142" s="30"/>
    </row>
    <row r="1143" spans="7:8" x14ac:dyDescent="0.3">
      <c r="G1143" s="30"/>
      <c r="H1143" s="30"/>
    </row>
    <row r="1144" spans="7:8" x14ac:dyDescent="0.3">
      <c r="G1144" s="30"/>
      <c r="H1144" s="30"/>
    </row>
    <row r="1145" spans="7:8" x14ac:dyDescent="0.3">
      <c r="G1145" s="30"/>
      <c r="H1145" s="30"/>
    </row>
    <row r="1146" spans="7:8" x14ac:dyDescent="0.3">
      <c r="G1146" s="30"/>
      <c r="H1146" s="30"/>
    </row>
    <row r="1147" spans="7:8" x14ac:dyDescent="0.3">
      <c r="G1147" s="30"/>
      <c r="H1147" s="30"/>
    </row>
    <row r="1148" spans="7:8" x14ac:dyDescent="0.3">
      <c r="G1148" s="30"/>
      <c r="H1148" s="30"/>
    </row>
    <row r="1149" spans="7:8" x14ac:dyDescent="0.3">
      <c r="G1149" s="30"/>
      <c r="H1149" s="30"/>
    </row>
    <row r="1150" spans="7:8" x14ac:dyDescent="0.3">
      <c r="G1150" s="30"/>
      <c r="H1150" s="30"/>
    </row>
    <row r="1151" spans="7:8" x14ac:dyDescent="0.3">
      <c r="G1151" s="30"/>
      <c r="H1151" s="30"/>
    </row>
    <row r="1152" spans="7:8" x14ac:dyDescent="0.3">
      <c r="G1152" s="30"/>
      <c r="H1152" s="30"/>
    </row>
    <row r="1153" spans="7:8" x14ac:dyDescent="0.3">
      <c r="G1153" s="30"/>
      <c r="H1153" s="30"/>
    </row>
    <row r="1154" spans="7:8" x14ac:dyDescent="0.3">
      <c r="G1154" s="30"/>
      <c r="H1154" s="30"/>
    </row>
    <row r="1155" spans="7:8" x14ac:dyDescent="0.3">
      <c r="G1155" s="30"/>
      <c r="H1155" s="30"/>
    </row>
    <row r="1156" spans="7:8" x14ac:dyDescent="0.3">
      <c r="G1156" s="30"/>
      <c r="H1156" s="30"/>
    </row>
    <row r="1157" spans="7:8" x14ac:dyDescent="0.3">
      <c r="G1157" s="30"/>
      <c r="H1157" s="30"/>
    </row>
    <row r="1158" spans="7:8" x14ac:dyDescent="0.3">
      <c r="G1158" s="30"/>
      <c r="H1158" s="30"/>
    </row>
    <row r="1159" spans="7:8" x14ac:dyDescent="0.3">
      <c r="G1159" s="30"/>
      <c r="H1159" s="30"/>
    </row>
    <row r="1160" spans="7:8" x14ac:dyDescent="0.3">
      <c r="G1160" s="30"/>
      <c r="H1160" s="30"/>
    </row>
    <row r="1161" spans="7:8" x14ac:dyDescent="0.3">
      <c r="G1161" s="30"/>
      <c r="H1161" s="30"/>
    </row>
    <row r="1162" spans="7:8" x14ac:dyDescent="0.3">
      <c r="G1162" s="30"/>
      <c r="H1162" s="30"/>
    </row>
    <row r="1163" spans="7:8" x14ac:dyDescent="0.3">
      <c r="G1163" s="30"/>
      <c r="H1163" s="30"/>
    </row>
    <row r="1164" spans="7:8" x14ac:dyDescent="0.3">
      <c r="G1164" s="30"/>
      <c r="H1164" s="30"/>
    </row>
    <row r="1165" spans="7:8" x14ac:dyDescent="0.3">
      <c r="G1165" s="30"/>
      <c r="H1165" s="30"/>
    </row>
    <row r="1166" spans="7:8" x14ac:dyDescent="0.3">
      <c r="G1166" s="30"/>
      <c r="H1166" s="30"/>
    </row>
    <row r="1167" spans="7:8" x14ac:dyDescent="0.3">
      <c r="G1167" s="30"/>
      <c r="H1167" s="30"/>
    </row>
    <row r="1168" spans="7:8" x14ac:dyDescent="0.3">
      <c r="G1168" s="30"/>
      <c r="H1168" s="30"/>
    </row>
    <row r="1169" spans="7:8" x14ac:dyDescent="0.3">
      <c r="G1169" s="30"/>
      <c r="H1169" s="30"/>
    </row>
    <row r="1170" spans="7:8" x14ac:dyDescent="0.3">
      <c r="G1170" s="30"/>
      <c r="H1170" s="30"/>
    </row>
    <row r="1171" spans="7:8" x14ac:dyDescent="0.3">
      <c r="G1171" s="30"/>
      <c r="H1171" s="30"/>
    </row>
    <row r="1172" spans="7:8" x14ac:dyDescent="0.3">
      <c r="G1172" s="30"/>
      <c r="H1172" s="30"/>
    </row>
    <row r="1173" spans="7:8" x14ac:dyDescent="0.3">
      <c r="G1173" s="30"/>
      <c r="H1173" s="30"/>
    </row>
    <row r="1174" spans="7:8" x14ac:dyDescent="0.3">
      <c r="G1174" s="30"/>
      <c r="H1174" s="30"/>
    </row>
    <row r="1175" spans="7:8" x14ac:dyDescent="0.3">
      <c r="G1175" s="30"/>
      <c r="H1175" s="30"/>
    </row>
    <row r="1176" spans="7:8" x14ac:dyDescent="0.3">
      <c r="G1176" s="30"/>
      <c r="H1176" s="30"/>
    </row>
    <row r="1177" spans="7:8" x14ac:dyDescent="0.3">
      <c r="G1177" s="30"/>
      <c r="H1177" s="30"/>
    </row>
    <row r="1178" spans="7:8" x14ac:dyDescent="0.3">
      <c r="G1178" s="30"/>
      <c r="H1178" s="30"/>
    </row>
    <row r="1179" spans="7:8" x14ac:dyDescent="0.3">
      <c r="G1179" s="30"/>
      <c r="H1179" s="30"/>
    </row>
    <row r="1180" spans="7:8" x14ac:dyDescent="0.3">
      <c r="G1180" s="30"/>
      <c r="H1180" s="30"/>
    </row>
    <row r="1181" spans="7:8" x14ac:dyDescent="0.3">
      <c r="G1181" s="30"/>
      <c r="H1181" s="30"/>
    </row>
    <row r="1182" spans="7:8" x14ac:dyDescent="0.3">
      <c r="G1182" s="30"/>
      <c r="H1182" s="30"/>
    </row>
    <row r="1183" spans="7:8" x14ac:dyDescent="0.3">
      <c r="G1183" s="30"/>
      <c r="H1183" s="30"/>
    </row>
    <row r="1184" spans="7:8" x14ac:dyDescent="0.3">
      <c r="G1184" s="30"/>
      <c r="H1184" s="30"/>
    </row>
    <row r="1185" spans="7:8" x14ac:dyDescent="0.3">
      <c r="G1185" s="30"/>
      <c r="H1185" s="30"/>
    </row>
    <row r="1186" spans="7:8" x14ac:dyDescent="0.3">
      <c r="G1186" s="30"/>
      <c r="H1186" s="30"/>
    </row>
    <row r="1187" spans="7:8" x14ac:dyDescent="0.3">
      <c r="G1187" s="30"/>
      <c r="H1187" s="30"/>
    </row>
    <row r="1188" spans="7:8" x14ac:dyDescent="0.3">
      <c r="G1188" s="30"/>
      <c r="H1188" s="30"/>
    </row>
    <row r="1189" spans="7:8" x14ac:dyDescent="0.3">
      <c r="G1189" s="30"/>
      <c r="H1189" s="30"/>
    </row>
    <row r="1190" spans="7:8" x14ac:dyDescent="0.3">
      <c r="G1190" s="30"/>
      <c r="H1190" s="30"/>
    </row>
    <row r="1191" spans="7:8" x14ac:dyDescent="0.3">
      <c r="G1191" s="30"/>
      <c r="H1191" s="30"/>
    </row>
    <row r="1192" spans="7:8" x14ac:dyDescent="0.3">
      <c r="G1192" s="30"/>
      <c r="H1192" s="30"/>
    </row>
    <row r="1193" spans="7:8" x14ac:dyDescent="0.3">
      <c r="G1193" s="30"/>
      <c r="H1193" s="30"/>
    </row>
    <row r="1194" spans="7:8" x14ac:dyDescent="0.3">
      <c r="G1194" s="30"/>
      <c r="H1194" s="30"/>
    </row>
    <row r="1195" spans="7:8" x14ac:dyDescent="0.3">
      <c r="G1195" s="30"/>
      <c r="H1195" s="30"/>
    </row>
    <row r="1196" spans="7:8" x14ac:dyDescent="0.3">
      <c r="G1196" s="30"/>
      <c r="H1196" s="30"/>
    </row>
    <row r="1197" spans="7:8" x14ac:dyDescent="0.3">
      <c r="G1197" s="30"/>
      <c r="H1197" s="30"/>
    </row>
    <row r="1198" spans="7:8" x14ac:dyDescent="0.3">
      <c r="G1198" s="30"/>
      <c r="H1198" s="30"/>
    </row>
    <row r="1199" spans="7:8" x14ac:dyDescent="0.3">
      <c r="G1199" s="30"/>
      <c r="H1199" s="30"/>
    </row>
    <row r="1200" spans="7:8" x14ac:dyDescent="0.3">
      <c r="G1200" s="30"/>
      <c r="H1200" s="30"/>
    </row>
    <row r="1201" spans="7:8" x14ac:dyDescent="0.3">
      <c r="G1201" s="30"/>
      <c r="H1201" s="30"/>
    </row>
    <row r="1202" spans="7:8" x14ac:dyDescent="0.3">
      <c r="G1202" s="30"/>
      <c r="H1202" s="30"/>
    </row>
    <row r="1203" spans="7:8" x14ac:dyDescent="0.3">
      <c r="G1203" s="30"/>
      <c r="H1203" s="30"/>
    </row>
    <row r="1204" spans="7:8" x14ac:dyDescent="0.3">
      <c r="G1204" s="30"/>
      <c r="H1204" s="30"/>
    </row>
    <row r="1205" spans="7:8" x14ac:dyDescent="0.3">
      <c r="G1205" s="30"/>
      <c r="H1205" s="30"/>
    </row>
    <row r="1206" spans="7:8" x14ac:dyDescent="0.3">
      <c r="G1206" s="30"/>
      <c r="H1206" s="30"/>
    </row>
    <row r="1207" spans="7:8" x14ac:dyDescent="0.3">
      <c r="G1207" s="30"/>
      <c r="H1207" s="30"/>
    </row>
    <row r="1208" spans="7:8" x14ac:dyDescent="0.3">
      <c r="G1208" s="30"/>
      <c r="H1208" s="30"/>
    </row>
    <row r="1209" spans="7:8" x14ac:dyDescent="0.3">
      <c r="G1209" s="30"/>
      <c r="H1209" s="30"/>
    </row>
    <row r="1210" spans="7:8" x14ac:dyDescent="0.3">
      <c r="G1210" s="30"/>
      <c r="H1210" s="30"/>
    </row>
    <row r="1211" spans="7:8" x14ac:dyDescent="0.3">
      <c r="G1211" s="30"/>
      <c r="H1211" s="30"/>
    </row>
    <row r="1212" spans="7:8" x14ac:dyDescent="0.3">
      <c r="G1212" s="30"/>
      <c r="H1212" s="30"/>
    </row>
    <row r="1213" spans="7:8" x14ac:dyDescent="0.3">
      <c r="G1213" s="30"/>
      <c r="H1213" s="30"/>
    </row>
    <row r="1214" spans="7:8" x14ac:dyDescent="0.3">
      <c r="G1214" s="30"/>
      <c r="H1214" s="30"/>
    </row>
    <row r="1215" spans="7:8" x14ac:dyDescent="0.3">
      <c r="G1215" s="30"/>
      <c r="H1215" s="30"/>
    </row>
    <row r="1216" spans="7:8" x14ac:dyDescent="0.3">
      <c r="G1216" s="30"/>
      <c r="H1216" s="30"/>
    </row>
    <row r="1217" spans="7:8" x14ac:dyDescent="0.3">
      <c r="G1217" s="30"/>
      <c r="H1217" s="30"/>
    </row>
    <row r="1218" spans="7:8" x14ac:dyDescent="0.3">
      <c r="G1218" s="30"/>
      <c r="H1218" s="30"/>
    </row>
    <row r="1219" spans="7:8" x14ac:dyDescent="0.3">
      <c r="G1219" s="30"/>
      <c r="H1219" s="30"/>
    </row>
    <row r="1220" spans="7:8" x14ac:dyDescent="0.3">
      <c r="G1220" s="30"/>
      <c r="H1220" s="30"/>
    </row>
    <row r="1221" spans="7:8" x14ac:dyDescent="0.3">
      <c r="G1221" s="30"/>
      <c r="H1221" s="30"/>
    </row>
    <row r="1222" spans="7:8" x14ac:dyDescent="0.3">
      <c r="G1222" s="30"/>
      <c r="H1222" s="30"/>
    </row>
    <row r="1223" spans="7:8" x14ac:dyDescent="0.3">
      <c r="G1223" s="30"/>
      <c r="H1223" s="30"/>
    </row>
    <row r="1224" spans="7:8" x14ac:dyDescent="0.3">
      <c r="G1224" s="30"/>
      <c r="H1224" s="30"/>
    </row>
    <row r="1225" spans="7:8" x14ac:dyDescent="0.3">
      <c r="G1225" s="30"/>
      <c r="H1225" s="30"/>
    </row>
    <row r="1226" spans="7:8" x14ac:dyDescent="0.3">
      <c r="G1226" s="30"/>
      <c r="H1226" s="30"/>
    </row>
    <row r="1227" spans="7:8" x14ac:dyDescent="0.3">
      <c r="G1227" s="30"/>
      <c r="H1227" s="30"/>
    </row>
    <row r="1228" spans="7:8" x14ac:dyDescent="0.3">
      <c r="G1228" s="30"/>
      <c r="H1228" s="30"/>
    </row>
    <row r="1229" spans="7:8" x14ac:dyDescent="0.3">
      <c r="G1229" s="30"/>
      <c r="H1229" s="30"/>
    </row>
    <row r="1230" spans="7:8" x14ac:dyDescent="0.3">
      <c r="G1230" s="30"/>
      <c r="H1230" s="30"/>
    </row>
    <row r="1231" spans="7:8" x14ac:dyDescent="0.3">
      <c r="G1231" s="30"/>
      <c r="H1231" s="30"/>
    </row>
    <row r="1232" spans="7:8" x14ac:dyDescent="0.3">
      <c r="G1232" s="30"/>
      <c r="H1232" s="30"/>
    </row>
    <row r="1233" spans="7:8" x14ac:dyDescent="0.3">
      <c r="G1233" s="30"/>
      <c r="H1233" s="30"/>
    </row>
    <row r="1234" spans="7:8" x14ac:dyDescent="0.3">
      <c r="G1234" s="30"/>
      <c r="H1234" s="30"/>
    </row>
    <row r="1235" spans="7:8" x14ac:dyDescent="0.3">
      <c r="G1235" s="30"/>
      <c r="H1235" s="30"/>
    </row>
    <row r="1236" spans="7:8" x14ac:dyDescent="0.3">
      <c r="G1236" s="30"/>
      <c r="H1236" s="30"/>
    </row>
    <row r="1237" spans="7:8" x14ac:dyDescent="0.3">
      <c r="G1237" s="30"/>
      <c r="H1237" s="30"/>
    </row>
    <row r="1238" spans="7:8" x14ac:dyDescent="0.3">
      <c r="G1238" s="30"/>
      <c r="H1238" s="30"/>
    </row>
    <row r="1239" spans="7:8" x14ac:dyDescent="0.3">
      <c r="G1239" s="30"/>
      <c r="H1239" s="30"/>
    </row>
    <row r="1240" spans="7:8" x14ac:dyDescent="0.3">
      <c r="G1240" s="30"/>
      <c r="H1240" s="30"/>
    </row>
    <row r="1241" spans="7:8" x14ac:dyDescent="0.3">
      <c r="G1241" s="30"/>
      <c r="H1241" s="30"/>
    </row>
    <row r="1242" spans="7:8" x14ac:dyDescent="0.3">
      <c r="G1242" s="30"/>
      <c r="H1242" s="30"/>
    </row>
    <row r="1243" spans="7:8" x14ac:dyDescent="0.3">
      <c r="G1243" s="30"/>
      <c r="H1243" s="30"/>
    </row>
    <row r="1244" spans="7:8" x14ac:dyDescent="0.3">
      <c r="G1244" s="30"/>
      <c r="H1244" s="30"/>
    </row>
    <row r="1245" spans="7:8" x14ac:dyDescent="0.3">
      <c r="G1245" s="30"/>
      <c r="H1245" s="30"/>
    </row>
    <row r="1246" spans="7:8" x14ac:dyDescent="0.3">
      <c r="G1246" s="30"/>
      <c r="H1246" s="30"/>
    </row>
    <row r="1247" spans="7:8" x14ac:dyDescent="0.3">
      <c r="G1247" s="30"/>
      <c r="H1247" s="30"/>
    </row>
    <row r="1248" spans="7:8" x14ac:dyDescent="0.3">
      <c r="G1248" s="30"/>
      <c r="H1248" s="30"/>
    </row>
    <row r="1249" spans="7:8" x14ac:dyDescent="0.3">
      <c r="G1249" s="30"/>
      <c r="H1249" s="30"/>
    </row>
    <row r="1250" spans="7:8" x14ac:dyDescent="0.3">
      <c r="G1250" s="30"/>
      <c r="H1250" s="30"/>
    </row>
    <row r="1251" spans="7:8" x14ac:dyDescent="0.3">
      <c r="G1251" s="30"/>
      <c r="H1251" s="30"/>
    </row>
    <row r="1252" spans="7:8" x14ac:dyDescent="0.3">
      <c r="G1252" s="30"/>
      <c r="H1252" s="30"/>
    </row>
    <row r="1253" spans="7:8" x14ac:dyDescent="0.3">
      <c r="G1253" s="30"/>
      <c r="H1253" s="30"/>
    </row>
    <row r="1254" spans="7:8" x14ac:dyDescent="0.3">
      <c r="G1254" s="30"/>
      <c r="H1254" s="30"/>
    </row>
    <row r="1255" spans="7:8" x14ac:dyDescent="0.3">
      <c r="G1255" s="30"/>
      <c r="H1255" s="30"/>
    </row>
    <row r="1256" spans="7:8" x14ac:dyDescent="0.3">
      <c r="G1256" s="30"/>
      <c r="H1256" s="30"/>
    </row>
    <row r="1257" spans="7:8" x14ac:dyDescent="0.3">
      <c r="G1257" s="30"/>
      <c r="H1257" s="30"/>
    </row>
    <row r="1258" spans="7:8" x14ac:dyDescent="0.3">
      <c r="G1258" s="30"/>
      <c r="H1258" s="30"/>
    </row>
    <row r="1259" spans="7:8" x14ac:dyDescent="0.3">
      <c r="G1259" s="30"/>
      <c r="H1259" s="30"/>
    </row>
    <row r="1260" spans="7:8" x14ac:dyDescent="0.3">
      <c r="G1260" s="30"/>
      <c r="H1260" s="30"/>
    </row>
    <row r="1261" spans="7:8" x14ac:dyDescent="0.3">
      <c r="G1261" s="30"/>
      <c r="H1261" s="30"/>
    </row>
    <row r="1262" spans="7:8" x14ac:dyDescent="0.3">
      <c r="G1262" s="30"/>
      <c r="H1262" s="30"/>
    </row>
    <row r="1263" spans="7:8" x14ac:dyDescent="0.3">
      <c r="G1263" s="30"/>
      <c r="H1263" s="30"/>
    </row>
    <row r="1264" spans="7:8" x14ac:dyDescent="0.3">
      <c r="G1264" s="30"/>
      <c r="H1264" s="30"/>
    </row>
    <row r="1265" spans="7:8" x14ac:dyDescent="0.3">
      <c r="G1265" s="30"/>
      <c r="H1265" s="30"/>
    </row>
    <row r="1266" spans="7:8" x14ac:dyDescent="0.3">
      <c r="G1266" s="30"/>
      <c r="H1266" s="30"/>
    </row>
    <row r="1267" spans="7:8" x14ac:dyDescent="0.3">
      <c r="G1267" s="30"/>
      <c r="H1267" s="30"/>
    </row>
    <row r="1268" spans="7:8" x14ac:dyDescent="0.3">
      <c r="G1268" s="30"/>
      <c r="H1268" s="30"/>
    </row>
    <row r="1269" spans="7:8" x14ac:dyDescent="0.3">
      <c r="G1269" s="30"/>
      <c r="H1269" s="30"/>
    </row>
    <row r="1270" spans="7:8" x14ac:dyDescent="0.3">
      <c r="G1270" s="30"/>
      <c r="H1270" s="30"/>
    </row>
    <row r="1271" spans="7:8" x14ac:dyDescent="0.3">
      <c r="G1271" s="30"/>
      <c r="H1271" s="30"/>
    </row>
    <row r="1272" spans="7:8" x14ac:dyDescent="0.3">
      <c r="G1272" s="30"/>
      <c r="H1272" s="30"/>
    </row>
    <row r="1273" spans="7:8" x14ac:dyDescent="0.3">
      <c r="G1273" s="30"/>
      <c r="H1273" s="30"/>
    </row>
    <row r="1274" spans="7:8" x14ac:dyDescent="0.3">
      <c r="G1274" s="30"/>
      <c r="H1274" s="30"/>
    </row>
    <row r="1275" spans="7:8" x14ac:dyDescent="0.3">
      <c r="G1275" s="30"/>
      <c r="H1275" s="30"/>
    </row>
    <row r="1276" spans="7:8" x14ac:dyDescent="0.3">
      <c r="G1276" s="30"/>
      <c r="H1276" s="30"/>
    </row>
    <row r="1277" spans="7:8" x14ac:dyDescent="0.3">
      <c r="G1277" s="30"/>
      <c r="H1277" s="30"/>
    </row>
    <row r="1278" spans="7:8" x14ac:dyDescent="0.3">
      <c r="G1278" s="30"/>
      <c r="H1278" s="30"/>
    </row>
    <row r="1279" spans="7:8" x14ac:dyDescent="0.3">
      <c r="G1279" s="30"/>
      <c r="H1279" s="30"/>
    </row>
    <row r="1280" spans="7:8" x14ac:dyDescent="0.3">
      <c r="G1280" s="30"/>
      <c r="H1280" s="30"/>
    </row>
    <row r="1281" spans="7:8" x14ac:dyDescent="0.3">
      <c r="G1281" s="30"/>
      <c r="H1281" s="30"/>
    </row>
    <row r="1282" spans="7:8" x14ac:dyDescent="0.3">
      <c r="G1282" s="30"/>
      <c r="H1282" s="30"/>
    </row>
    <row r="1283" spans="7:8" x14ac:dyDescent="0.3">
      <c r="G1283" s="30"/>
      <c r="H1283" s="30"/>
    </row>
    <row r="1284" spans="7:8" x14ac:dyDescent="0.3">
      <c r="G1284" s="30"/>
      <c r="H1284" s="30"/>
    </row>
    <row r="1285" spans="7:8" x14ac:dyDescent="0.3">
      <c r="G1285" s="30"/>
      <c r="H1285" s="30"/>
    </row>
    <row r="1286" spans="7:8" x14ac:dyDescent="0.3">
      <c r="G1286" s="30"/>
      <c r="H1286" s="30"/>
    </row>
    <row r="1287" spans="7:8" x14ac:dyDescent="0.3">
      <c r="G1287" s="30"/>
      <c r="H1287" s="30"/>
    </row>
    <row r="1288" spans="7:8" x14ac:dyDescent="0.3">
      <c r="G1288" s="30"/>
      <c r="H1288" s="30"/>
    </row>
    <row r="1289" spans="7:8" x14ac:dyDescent="0.3">
      <c r="G1289" s="30"/>
      <c r="H1289" s="30"/>
    </row>
    <row r="1290" spans="7:8" x14ac:dyDescent="0.3">
      <c r="G1290" s="30"/>
      <c r="H1290" s="30"/>
    </row>
    <row r="1291" spans="7:8" x14ac:dyDescent="0.3">
      <c r="G1291" s="30"/>
      <c r="H1291" s="30"/>
    </row>
    <row r="1292" spans="7:8" x14ac:dyDescent="0.3">
      <c r="G1292" s="30"/>
      <c r="H1292" s="30"/>
    </row>
    <row r="1293" spans="7:8" x14ac:dyDescent="0.3">
      <c r="G1293" s="30"/>
      <c r="H1293" s="30"/>
    </row>
    <row r="1294" spans="7:8" x14ac:dyDescent="0.3">
      <c r="G1294" s="30"/>
      <c r="H1294" s="30"/>
    </row>
    <row r="1295" spans="7:8" x14ac:dyDescent="0.3">
      <c r="G1295" s="30"/>
      <c r="H1295" s="30"/>
    </row>
    <row r="1296" spans="7:8" x14ac:dyDescent="0.3">
      <c r="G1296" s="30"/>
      <c r="H1296" s="30"/>
    </row>
    <row r="1297" spans="7:8" x14ac:dyDescent="0.3">
      <c r="G1297" s="30"/>
      <c r="H1297" s="30"/>
    </row>
    <row r="1298" spans="7:8" x14ac:dyDescent="0.3">
      <c r="G1298" s="30"/>
      <c r="H1298" s="30"/>
    </row>
    <row r="1299" spans="7:8" x14ac:dyDescent="0.3">
      <c r="G1299" s="30"/>
      <c r="H1299" s="30"/>
    </row>
    <row r="1300" spans="7:8" x14ac:dyDescent="0.3">
      <c r="G1300" s="30"/>
      <c r="H1300" s="30"/>
    </row>
    <row r="1301" spans="7:8" x14ac:dyDescent="0.3">
      <c r="G1301" s="30"/>
      <c r="H1301" s="30"/>
    </row>
    <row r="1302" spans="7:8" x14ac:dyDescent="0.3">
      <c r="G1302" s="30"/>
      <c r="H1302" s="30"/>
    </row>
    <row r="1303" spans="7:8" x14ac:dyDescent="0.3">
      <c r="G1303" s="30"/>
      <c r="H1303" s="30"/>
    </row>
    <row r="1304" spans="7:8" x14ac:dyDescent="0.3">
      <c r="G1304" s="30"/>
      <c r="H1304" s="30"/>
    </row>
    <row r="1305" spans="7:8" x14ac:dyDescent="0.3">
      <c r="G1305" s="30"/>
      <c r="H1305" s="30"/>
    </row>
    <row r="1306" spans="7:8" x14ac:dyDescent="0.3">
      <c r="G1306" s="30"/>
      <c r="H1306" s="30"/>
    </row>
    <row r="1307" spans="7:8" x14ac:dyDescent="0.3">
      <c r="G1307" s="30"/>
      <c r="H1307" s="30"/>
    </row>
    <row r="1308" spans="7:8" x14ac:dyDescent="0.3">
      <c r="G1308" s="30"/>
      <c r="H1308" s="30"/>
    </row>
    <row r="1309" spans="7:8" x14ac:dyDescent="0.3">
      <c r="G1309" s="30"/>
      <c r="H1309" s="30"/>
    </row>
    <row r="1310" spans="7:8" x14ac:dyDescent="0.3">
      <c r="G1310" s="30"/>
      <c r="H1310" s="30"/>
    </row>
    <row r="1311" spans="7:8" x14ac:dyDescent="0.3">
      <c r="G1311" s="30"/>
      <c r="H1311" s="30"/>
    </row>
    <row r="1312" spans="7:8" x14ac:dyDescent="0.3">
      <c r="G1312" s="30"/>
      <c r="H1312" s="30"/>
    </row>
    <row r="1313" spans="7:8" x14ac:dyDescent="0.3">
      <c r="G1313" s="30"/>
      <c r="H1313" s="30"/>
    </row>
    <row r="1314" spans="7:8" x14ac:dyDescent="0.3">
      <c r="G1314" s="30"/>
      <c r="H1314" s="30"/>
    </row>
    <row r="1315" spans="7:8" x14ac:dyDescent="0.3">
      <c r="G1315" s="30"/>
      <c r="H1315" s="30"/>
    </row>
    <row r="1316" spans="7:8" x14ac:dyDescent="0.3">
      <c r="G1316" s="30"/>
      <c r="H1316" s="30"/>
    </row>
    <row r="1317" spans="7:8" x14ac:dyDescent="0.3">
      <c r="G1317" s="30"/>
      <c r="H1317" s="30"/>
    </row>
    <row r="1318" spans="7:8" x14ac:dyDescent="0.3">
      <c r="G1318" s="30"/>
      <c r="H1318" s="30"/>
    </row>
    <row r="1319" spans="7:8" x14ac:dyDescent="0.3">
      <c r="G1319" s="30"/>
      <c r="H1319" s="30"/>
    </row>
    <row r="1320" spans="7:8" x14ac:dyDescent="0.3">
      <c r="G1320" s="30"/>
      <c r="H1320" s="30"/>
    </row>
    <row r="1321" spans="7:8" x14ac:dyDescent="0.3">
      <c r="G1321" s="30"/>
      <c r="H1321" s="30"/>
    </row>
    <row r="1322" spans="7:8" x14ac:dyDescent="0.3">
      <c r="G1322" s="30"/>
      <c r="H1322" s="30"/>
    </row>
    <row r="1323" spans="7:8" x14ac:dyDescent="0.3">
      <c r="G1323" s="30"/>
      <c r="H1323" s="30"/>
    </row>
    <row r="1324" spans="7:8" x14ac:dyDescent="0.3">
      <c r="G1324" s="30"/>
      <c r="H1324" s="30"/>
    </row>
    <row r="1325" spans="7:8" x14ac:dyDescent="0.3">
      <c r="G1325" s="30"/>
      <c r="H1325" s="30"/>
    </row>
    <row r="1326" spans="7:8" x14ac:dyDescent="0.3">
      <c r="G1326" s="30"/>
      <c r="H1326" s="30"/>
    </row>
    <row r="1327" spans="7:8" x14ac:dyDescent="0.3">
      <c r="G1327" s="30"/>
      <c r="H1327" s="30"/>
    </row>
    <row r="1328" spans="7:8" x14ac:dyDescent="0.3">
      <c r="G1328" s="30"/>
      <c r="H1328" s="30"/>
    </row>
    <row r="1329" spans="7:8" x14ac:dyDescent="0.3">
      <c r="G1329" s="30"/>
      <c r="H1329" s="30"/>
    </row>
    <row r="1330" spans="7:8" x14ac:dyDescent="0.3">
      <c r="G1330" s="30"/>
      <c r="H1330" s="30"/>
    </row>
    <row r="1331" spans="7:8" x14ac:dyDescent="0.3">
      <c r="G1331" s="30"/>
      <c r="H1331" s="30"/>
    </row>
    <row r="1332" spans="7:8" x14ac:dyDescent="0.3">
      <c r="G1332" s="30"/>
      <c r="H1332" s="30"/>
    </row>
    <row r="1333" spans="7:8" x14ac:dyDescent="0.3">
      <c r="G1333" s="30"/>
      <c r="H1333" s="30"/>
    </row>
    <row r="1334" spans="7:8" x14ac:dyDescent="0.3">
      <c r="G1334" s="30"/>
      <c r="H1334" s="30"/>
    </row>
    <row r="1335" spans="7:8" x14ac:dyDescent="0.3">
      <c r="G1335" s="30"/>
      <c r="H1335" s="30"/>
    </row>
    <row r="1336" spans="7:8" x14ac:dyDescent="0.3">
      <c r="G1336" s="30"/>
      <c r="H1336" s="30"/>
    </row>
    <row r="1337" spans="7:8" x14ac:dyDescent="0.3">
      <c r="G1337" s="30"/>
      <c r="H1337" s="30"/>
    </row>
    <row r="1338" spans="7:8" x14ac:dyDescent="0.3">
      <c r="G1338" s="30"/>
      <c r="H1338" s="30"/>
    </row>
    <row r="1339" spans="7:8" x14ac:dyDescent="0.3">
      <c r="G1339" s="30"/>
      <c r="H1339" s="30"/>
    </row>
    <row r="1340" spans="7:8" x14ac:dyDescent="0.3">
      <c r="G1340" s="30"/>
      <c r="H1340" s="30"/>
    </row>
    <row r="1341" spans="7:8" x14ac:dyDescent="0.3">
      <c r="G1341" s="30"/>
      <c r="H1341" s="30"/>
    </row>
    <row r="1342" spans="7:8" x14ac:dyDescent="0.3">
      <c r="G1342" s="30"/>
      <c r="H1342" s="30"/>
    </row>
    <row r="1343" spans="7:8" x14ac:dyDescent="0.3">
      <c r="G1343" s="30"/>
      <c r="H1343" s="30"/>
    </row>
    <row r="1344" spans="7:8" x14ac:dyDescent="0.3">
      <c r="G1344" s="30"/>
      <c r="H1344" s="30"/>
    </row>
    <row r="1345" spans="7:8" x14ac:dyDescent="0.3">
      <c r="G1345" s="30"/>
      <c r="H1345" s="30"/>
    </row>
    <row r="1346" spans="7:8" x14ac:dyDescent="0.3">
      <c r="G1346" s="30"/>
      <c r="H1346" s="30"/>
    </row>
    <row r="1347" spans="7:8" x14ac:dyDescent="0.3">
      <c r="G1347" s="30"/>
      <c r="H1347" s="30"/>
    </row>
    <row r="1348" spans="7:8" x14ac:dyDescent="0.3">
      <c r="G1348" s="30"/>
      <c r="H1348" s="30"/>
    </row>
    <row r="1349" spans="7:8" x14ac:dyDescent="0.3">
      <c r="G1349" s="30"/>
      <c r="H1349" s="30"/>
    </row>
    <row r="1350" spans="7:8" x14ac:dyDescent="0.3">
      <c r="G1350" s="30"/>
      <c r="H1350" s="30"/>
    </row>
    <row r="1351" spans="7:8" x14ac:dyDescent="0.3">
      <c r="G1351" s="30"/>
      <c r="H1351" s="30"/>
    </row>
    <row r="1352" spans="7:8" x14ac:dyDescent="0.3">
      <c r="G1352" s="30"/>
      <c r="H1352" s="30"/>
    </row>
    <row r="1353" spans="7:8" x14ac:dyDescent="0.3">
      <c r="G1353" s="30"/>
      <c r="H1353" s="30"/>
    </row>
    <row r="1354" spans="7:8" x14ac:dyDescent="0.3">
      <c r="G1354" s="30"/>
      <c r="H1354" s="30"/>
    </row>
    <row r="1355" spans="7:8" x14ac:dyDescent="0.3">
      <c r="G1355" s="30"/>
      <c r="H1355" s="30"/>
    </row>
    <row r="1356" spans="7:8" x14ac:dyDescent="0.3">
      <c r="G1356" s="30"/>
      <c r="H1356" s="30"/>
    </row>
    <row r="1357" spans="7:8" x14ac:dyDescent="0.3">
      <c r="G1357" s="30"/>
      <c r="H1357" s="30"/>
    </row>
    <row r="1358" spans="7:8" x14ac:dyDescent="0.3">
      <c r="G1358" s="30"/>
      <c r="H1358" s="30"/>
    </row>
    <row r="1359" spans="7:8" x14ac:dyDescent="0.3">
      <c r="G1359" s="30"/>
      <c r="H1359" s="30"/>
    </row>
    <row r="1360" spans="7:8" x14ac:dyDescent="0.3">
      <c r="G1360" s="30"/>
      <c r="H1360" s="30"/>
    </row>
    <row r="1361" spans="7:8" x14ac:dyDescent="0.3">
      <c r="G1361" s="30"/>
      <c r="H1361" s="30"/>
    </row>
    <row r="1362" spans="7:8" x14ac:dyDescent="0.3">
      <c r="G1362" s="30"/>
      <c r="H1362" s="30"/>
    </row>
    <row r="1363" spans="7:8" x14ac:dyDescent="0.3">
      <c r="G1363" s="30"/>
      <c r="H1363" s="30"/>
    </row>
    <row r="1364" spans="7:8" x14ac:dyDescent="0.3">
      <c r="G1364" s="30"/>
      <c r="H1364" s="30"/>
    </row>
    <row r="1365" spans="7:8" x14ac:dyDescent="0.3">
      <c r="G1365" s="30"/>
      <c r="H1365" s="30"/>
    </row>
    <row r="1366" spans="7:8" x14ac:dyDescent="0.3">
      <c r="G1366" s="30"/>
      <c r="H1366" s="30"/>
    </row>
    <row r="1367" spans="7:8" x14ac:dyDescent="0.3">
      <c r="G1367" s="30"/>
      <c r="H1367" s="30"/>
    </row>
    <row r="1368" spans="7:8" x14ac:dyDescent="0.3">
      <c r="G1368" s="30"/>
      <c r="H1368" s="30"/>
    </row>
    <row r="1369" spans="7:8" x14ac:dyDescent="0.3">
      <c r="G1369" s="30"/>
      <c r="H1369" s="30"/>
    </row>
    <row r="1370" spans="7:8" x14ac:dyDescent="0.3">
      <c r="G1370" s="30"/>
      <c r="H1370" s="30"/>
    </row>
    <row r="1371" spans="7:8" x14ac:dyDescent="0.3">
      <c r="G1371" s="30"/>
      <c r="H1371" s="30"/>
    </row>
    <row r="1372" spans="7:8" x14ac:dyDescent="0.3">
      <c r="G1372" s="30"/>
      <c r="H1372" s="30"/>
    </row>
    <row r="1373" spans="7:8" x14ac:dyDescent="0.3">
      <c r="G1373" s="30"/>
      <c r="H1373" s="30"/>
    </row>
    <row r="1374" spans="7:8" x14ac:dyDescent="0.3">
      <c r="G1374" s="30"/>
      <c r="H1374" s="30"/>
    </row>
    <row r="1375" spans="7:8" x14ac:dyDescent="0.3">
      <c r="G1375" s="30"/>
      <c r="H1375" s="30"/>
    </row>
    <row r="1376" spans="7:8" x14ac:dyDescent="0.3">
      <c r="G1376" s="30"/>
      <c r="H1376" s="30"/>
    </row>
    <row r="1377" spans="7:8" x14ac:dyDescent="0.3">
      <c r="G1377" s="30"/>
      <c r="H1377" s="30"/>
    </row>
    <row r="1378" spans="7:8" x14ac:dyDescent="0.3">
      <c r="G1378" s="30"/>
      <c r="H1378" s="30"/>
    </row>
    <row r="1379" spans="7:8" x14ac:dyDescent="0.3">
      <c r="G1379" s="30"/>
      <c r="H1379" s="30"/>
    </row>
    <row r="1380" spans="7:8" x14ac:dyDescent="0.3">
      <c r="G1380" s="30"/>
      <c r="H1380" s="30"/>
    </row>
    <row r="1381" spans="7:8" x14ac:dyDescent="0.3">
      <c r="G1381" s="30"/>
      <c r="H1381" s="30"/>
    </row>
    <row r="1382" spans="7:8" x14ac:dyDescent="0.3">
      <c r="G1382" s="30"/>
      <c r="H1382" s="30"/>
    </row>
    <row r="1383" spans="7:8" x14ac:dyDescent="0.3">
      <c r="G1383" s="30"/>
      <c r="H1383" s="30"/>
    </row>
    <row r="1384" spans="7:8" x14ac:dyDescent="0.3">
      <c r="G1384" s="30"/>
      <c r="H1384" s="30"/>
    </row>
    <row r="1385" spans="7:8" x14ac:dyDescent="0.3">
      <c r="G1385" s="30"/>
      <c r="H1385" s="30"/>
    </row>
    <row r="1386" spans="7:8" x14ac:dyDescent="0.3">
      <c r="G1386" s="30"/>
      <c r="H1386" s="30"/>
    </row>
    <row r="1387" spans="7:8" x14ac:dyDescent="0.3">
      <c r="G1387" s="30"/>
      <c r="H1387" s="30"/>
    </row>
    <row r="1388" spans="7:8" x14ac:dyDescent="0.3">
      <c r="G1388" s="30"/>
      <c r="H1388" s="30"/>
    </row>
    <row r="1389" spans="7:8" x14ac:dyDescent="0.3">
      <c r="G1389" s="30"/>
      <c r="H1389" s="30"/>
    </row>
    <row r="1390" spans="7:8" x14ac:dyDescent="0.3">
      <c r="G1390" s="30"/>
      <c r="H1390" s="30"/>
    </row>
    <row r="1391" spans="7:8" x14ac:dyDescent="0.3">
      <c r="G1391" s="30"/>
      <c r="H1391" s="30"/>
    </row>
    <row r="1392" spans="7:8" x14ac:dyDescent="0.3">
      <c r="G1392" s="30"/>
      <c r="H1392" s="30"/>
    </row>
    <row r="1393" spans="7:8" x14ac:dyDescent="0.3">
      <c r="G1393" s="30"/>
      <c r="H1393" s="30"/>
    </row>
    <row r="1394" spans="7:8" x14ac:dyDescent="0.3">
      <c r="G1394" s="30"/>
      <c r="H1394" s="30"/>
    </row>
    <row r="1395" spans="7:8" x14ac:dyDescent="0.3">
      <c r="G1395" s="30"/>
      <c r="H1395" s="30"/>
    </row>
    <row r="1396" spans="7:8" x14ac:dyDescent="0.3">
      <c r="G1396" s="30"/>
      <c r="H1396" s="30"/>
    </row>
    <row r="1397" spans="7:8" x14ac:dyDescent="0.3">
      <c r="G1397" s="30"/>
      <c r="H1397" s="30"/>
    </row>
    <row r="1398" spans="7:8" x14ac:dyDescent="0.3">
      <c r="G1398" s="30"/>
      <c r="H1398" s="30"/>
    </row>
    <row r="1399" spans="7:8" x14ac:dyDescent="0.3">
      <c r="G1399" s="30"/>
      <c r="H1399" s="30"/>
    </row>
    <row r="1400" spans="7:8" x14ac:dyDescent="0.3">
      <c r="G1400" s="30"/>
      <c r="H1400" s="30"/>
    </row>
    <row r="1401" spans="7:8" x14ac:dyDescent="0.3">
      <c r="G1401" s="30"/>
      <c r="H1401" s="30"/>
    </row>
    <row r="1402" spans="7:8" x14ac:dyDescent="0.3">
      <c r="G1402" s="30"/>
      <c r="H1402" s="30"/>
    </row>
    <row r="1403" spans="7:8" x14ac:dyDescent="0.3">
      <c r="G1403" s="30"/>
      <c r="H1403" s="30"/>
    </row>
    <row r="1404" spans="7:8" x14ac:dyDescent="0.3">
      <c r="G1404" s="30"/>
      <c r="H1404" s="30"/>
    </row>
    <row r="1405" spans="7:8" x14ac:dyDescent="0.3">
      <c r="G1405" s="30"/>
      <c r="H1405" s="30"/>
    </row>
    <row r="1406" spans="7:8" x14ac:dyDescent="0.3">
      <c r="G1406" s="30"/>
      <c r="H1406" s="30"/>
    </row>
    <row r="1407" spans="7:8" x14ac:dyDescent="0.3">
      <c r="G1407" s="30"/>
      <c r="H1407" s="30"/>
    </row>
    <row r="1408" spans="7:8" x14ac:dyDescent="0.3">
      <c r="G1408" s="30"/>
      <c r="H1408" s="30"/>
    </row>
    <row r="1409" spans="7:8" x14ac:dyDescent="0.3">
      <c r="G1409" s="30"/>
      <c r="H1409" s="30"/>
    </row>
    <row r="1410" spans="7:8" x14ac:dyDescent="0.3">
      <c r="G1410" s="30"/>
      <c r="H1410" s="30"/>
    </row>
    <row r="1411" spans="7:8" x14ac:dyDescent="0.3">
      <c r="G1411" s="30"/>
      <c r="H1411" s="30"/>
    </row>
    <row r="1412" spans="7:8" x14ac:dyDescent="0.3">
      <c r="G1412" s="30"/>
      <c r="H1412" s="30"/>
    </row>
    <row r="1413" spans="7:8" x14ac:dyDescent="0.3">
      <c r="G1413" s="30"/>
      <c r="H1413" s="30"/>
    </row>
    <row r="1414" spans="7:8" x14ac:dyDescent="0.3">
      <c r="G1414" s="30"/>
      <c r="H1414" s="30"/>
    </row>
    <row r="1415" spans="7:8" x14ac:dyDescent="0.3">
      <c r="G1415" s="30"/>
      <c r="H1415" s="30"/>
    </row>
    <row r="1416" spans="7:8" x14ac:dyDescent="0.3">
      <c r="G1416" s="30"/>
      <c r="H1416" s="30"/>
    </row>
    <row r="1417" spans="7:8" x14ac:dyDescent="0.3">
      <c r="G1417" s="30"/>
      <c r="H1417" s="30"/>
    </row>
    <row r="1418" spans="7:8" x14ac:dyDescent="0.3">
      <c r="G1418" s="30"/>
      <c r="H1418" s="30"/>
    </row>
    <row r="1419" spans="7:8" x14ac:dyDescent="0.3">
      <c r="G1419" s="30"/>
      <c r="H1419" s="30"/>
    </row>
    <row r="1420" spans="7:8" x14ac:dyDescent="0.3">
      <c r="G1420" s="30"/>
      <c r="H1420" s="30"/>
    </row>
    <row r="1421" spans="7:8" x14ac:dyDescent="0.3">
      <c r="G1421" s="30"/>
      <c r="H1421" s="30"/>
    </row>
    <row r="1422" spans="7:8" x14ac:dyDescent="0.3">
      <c r="G1422" s="30"/>
      <c r="H1422" s="30"/>
    </row>
    <row r="1423" spans="7:8" x14ac:dyDescent="0.3">
      <c r="G1423" s="30"/>
      <c r="H1423" s="30"/>
    </row>
    <row r="1424" spans="7:8" x14ac:dyDescent="0.3">
      <c r="G1424" s="30"/>
      <c r="H1424" s="30"/>
    </row>
    <row r="1425" spans="7:8" x14ac:dyDescent="0.3">
      <c r="G1425" s="30"/>
      <c r="H1425" s="30"/>
    </row>
    <row r="1426" spans="7:8" x14ac:dyDescent="0.3">
      <c r="G1426" s="30"/>
      <c r="H1426" s="30"/>
    </row>
    <row r="1427" spans="7:8" x14ac:dyDescent="0.3">
      <c r="G1427" s="30"/>
      <c r="H1427" s="30"/>
    </row>
    <row r="1428" spans="7:8" x14ac:dyDescent="0.3">
      <c r="G1428" s="30"/>
      <c r="H1428" s="30"/>
    </row>
    <row r="1429" spans="7:8" x14ac:dyDescent="0.3">
      <c r="G1429" s="30"/>
      <c r="H1429" s="30"/>
    </row>
    <row r="1430" spans="7:8" x14ac:dyDescent="0.3">
      <c r="G1430" s="30"/>
      <c r="H1430" s="30"/>
    </row>
    <row r="1431" spans="7:8" x14ac:dyDescent="0.3">
      <c r="G1431" s="30"/>
      <c r="H1431" s="30"/>
    </row>
    <row r="1432" spans="7:8" x14ac:dyDescent="0.3">
      <c r="G1432" s="30"/>
      <c r="H1432" s="30"/>
    </row>
    <row r="1433" spans="7:8" x14ac:dyDescent="0.3">
      <c r="G1433" s="30"/>
      <c r="H1433" s="30"/>
    </row>
    <row r="1434" spans="7:8" x14ac:dyDescent="0.3">
      <c r="G1434" s="30"/>
      <c r="H1434" s="30"/>
    </row>
    <row r="1435" spans="7:8" x14ac:dyDescent="0.3">
      <c r="G1435" s="30"/>
      <c r="H1435" s="30"/>
    </row>
    <row r="1436" spans="7:8" x14ac:dyDescent="0.3">
      <c r="G1436" s="30"/>
      <c r="H1436" s="30"/>
    </row>
    <row r="1437" spans="7:8" x14ac:dyDescent="0.3">
      <c r="G1437" s="30"/>
      <c r="H1437" s="30"/>
    </row>
    <row r="1438" spans="7:8" x14ac:dyDescent="0.3">
      <c r="G1438" s="30"/>
      <c r="H1438" s="30"/>
    </row>
    <row r="1439" spans="7:8" x14ac:dyDescent="0.3">
      <c r="G1439" s="30"/>
      <c r="H1439" s="30"/>
    </row>
    <row r="1440" spans="7:8" x14ac:dyDescent="0.3">
      <c r="G1440" s="30"/>
      <c r="H1440" s="30"/>
    </row>
    <row r="1441" spans="7:8" x14ac:dyDescent="0.3">
      <c r="G1441" s="30"/>
      <c r="H1441" s="30"/>
    </row>
    <row r="1442" spans="7:8" x14ac:dyDescent="0.3">
      <c r="G1442" s="30"/>
      <c r="H1442" s="30"/>
    </row>
    <row r="1443" spans="7:8" x14ac:dyDescent="0.3">
      <c r="G1443" s="30"/>
      <c r="H1443" s="30"/>
    </row>
    <row r="1444" spans="7:8" x14ac:dyDescent="0.3">
      <c r="G1444" s="30"/>
      <c r="H1444" s="30"/>
    </row>
    <row r="1445" spans="7:8" x14ac:dyDescent="0.3">
      <c r="G1445" s="30"/>
      <c r="H1445" s="30"/>
    </row>
    <row r="1446" spans="7:8" x14ac:dyDescent="0.3">
      <c r="G1446" s="30"/>
      <c r="H1446" s="30"/>
    </row>
    <row r="1447" spans="7:8" x14ac:dyDescent="0.3">
      <c r="G1447" s="30"/>
      <c r="H1447" s="30"/>
    </row>
    <row r="1448" spans="7:8" x14ac:dyDescent="0.3">
      <c r="G1448" s="30"/>
      <c r="H1448" s="30"/>
    </row>
    <row r="1449" spans="7:8" x14ac:dyDescent="0.3">
      <c r="G1449" s="30"/>
      <c r="H1449" s="30"/>
    </row>
    <row r="1450" spans="7:8" x14ac:dyDescent="0.3">
      <c r="G1450" s="30"/>
      <c r="H1450" s="30"/>
    </row>
    <row r="1451" spans="7:8" x14ac:dyDescent="0.3">
      <c r="G1451" s="30"/>
      <c r="H1451" s="30"/>
    </row>
    <row r="1452" spans="7:8" x14ac:dyDescent="0.3">
      <c r="G1452" s="30"/>
      <c r="H1452" s="30"/>
    </row>
    <row r="1453" spans="7:8" x14ac:dyDescent="0.3">
      <c r="G1453" s="30"/>
      <c r="H1453" s="30"/>
    </row>
    <row r="1454" spans="7:8" x14ac:dyDescent="0.3">
      <c r="G1454" s="30"/>
      <c r="H1454" s="30"/>
    </row>
    <row r="1455" spans="7:8" x14ac:dyDescent="0.3">
      <c r="G1455" s="30"/>
      <c r="H1455" s="30"/>
    </row>
    <row r="1456" spans="7:8" x14ac:dyDescent="0.3">
      <c r="G1456" s="30"/>
      <c r="H1456" s="30"/>
    </row>
    <row r="1457" spans="7:8" x14ac:dyDescent="0.3">
      <c r="G1457" s="30"/>
      <c r="H1457" s="30"/>
    </row>
    <row r="1458" spans="7:8" x14ac:dyDescent="0.3">
      <c r="G1458" s="30"/>
      <c r="H1458" s="30"/>
    </row>
    <row r="1459" spans="7:8" x14ac:dyDescent="0.3">
      <c r="G1459" s="30"/>
      <c r="H1459" s="30"/>
    </row>
    <row r="1460" spans="7:8" x14ac:dyDescent="0.3">
      <c r="G1460" s="30"/>
      <c r="H1460" s="30"/>
    </row>
    <row r="1461" spans="7:8" x14ac:dyDescent="0.3">
      <c r="G1461" s="30"/>
      <c r="H1461" s="30"/>
    </row>
    <row r="1462" spans="7:8" x14ac:dyDescent="0.3">
      <c r="G1462" s="30"/>
      <c r="H1462" s="30"/>
    </row>
    <row r="1463" spans="7:8" x14ac:dyDescent="0.3">
      <c r="G1463" s="30"/>
      <c r="H1463" s="30"/>
    </row>
    <row r="1464" spans="7:8" x14ac:dyDescent="0.3">
      <c r="G1464" s="30"/>
      <c r="H1464" s="30"/>
    </row>
    <row r="1465" spans="7:8" x14ac:dyDescent="0.3">
      <c r="G1465" s="30"/>
      <c r="H1465" s="30"/>
    </row>
    <row r="1466" spans="7:8" x14ac:dyDescent="0.3">
      <c r="G1466" s="30"/>
      <c r="H1466" s="30"/>
    </row>
    <row r="1467" spans="7:8" x14ac:dyDescent="0.3">
      <c r="G1467" s="30"/>
      <c r="H1467" s="30"/>
    </row>
    <row r="1468" spans="7:8" x14ac:dyDescent="0.3">
      <c r="G1468" s="30"/>
      <c r="H1468" s="30"/>
    </row>
    <row r="1469" spans="7:8" x14ac:dyDescent="0.3">
      <c r="G1469" s="30"/>
      <c r="H1469" s="30"/>
    </row>
    <row r="1470" spans="7:8" x14ac:dyDescent="0.3">
      <c r="G1470" s="30"/>
      <c r="H1470" s="30"/>
    </row>
    <row r="1471" spans="7:8" x14ac:dyDescent="0.3">
      <c r="G1471" s="30"/>
      <c r="H1471" s="30"/>
    </row>
    <row r="1472" spans="7:8" x14ac:dyDescent="0.3">
      <c r="G1472" s="30"/>
      <c r="H1472" s="30"/>
    </row>
    <row r="1473" spans="7:8" x14ac:dyDescent="0.3">
      <c r="G1473" s="30"/>
      <c r="H1473" s="30"/>
    </row>
    <row r="1474" spans="7:8" x14ac:dyDescent="0.3">
      <c r="G1474" s="30"/>
      <c r="H1474" s="30"/>
    </row>
    <row r="1475" spans="7:8" x14ac:dyDescent="0.3">
      <c r="G1475" s="30"/>
      <c r="H1475" s="30"/>
    </row>
    <row r="1476" spans="7:8" x14ac:dyDescent="0.3">
      <c r="G1476" s="30"/>
      <c r="H1476" s="30"/>
    </row>
    <row r="1477" spans="7:8" x14ac:dyDescent="0.3">
      <c r="G1477" s="30"/>
      <c r="H1477" s="30"/>
    </row>
    <row r="1478" spans="7:8" x14ac:dyDescent="0.3">
      <c r="G1478" s="30"/>
      <c r="H1478" s="30"/>
    </row>
    <row r="1479" spans="7:8" x14ac:dyDescent="0.3">
      <c r="G1479" s="30"/>
      <c r="H1479" s="30"/>
    </row>
    <row r="1480" spans="7:8" x14ac:dyDescent="0.3">
      <c r="G1480" s="30"/>
      <c r="H1480" s="30"/>
    </row>
    <row r="1481" spans="7:8" x14ac:dyDescent="0.3">
      <c r="G1481" s="30"/>
      <c r="H1481" s="30"/>
    </row>
    <row r="1482" spans="7:8" x14ac:dyDescent="0.3">
      <c r="G1482" s="30"/>
      <c r="H1482" s="30"/>
    </row>
    <row r="1483" spans="7:8" x14ac:dyDescent="0.3">
      <c r="G1483" s="30"/>
      <c r="H1483" s="30"/>
    </row>
    <row r="1484" spans="7:8" x14ac:dyDescent="0.3">
      <c r="G1484" s="30"/>
      <c r="H1484" s="30"/>
    </row>
    <row r="1485" spans="7:8" x14ac:dyDescent="0.3">
      <c r="G1485" s="30"/>
      <c r="H1485" s="30"/>
    </row>
    <row r="1486" spans="7:8" x14ac:dyDescent="0.3">
      <c r="G1486" s="30"/>
      <c r="H1486" s="30"/>
    </row>
    <row r="1487" spans="7:8" x14ac:dyDescent="0.3">
      <c r="G1487" s="30"/>
      <c r="H1487" s="30"/>
    </row>
    <row r="1488" spans="7:8" x14ac:dyDescent="0.3">
      <c r="G1488" s="30"/>
      <c r="H1488" s="30"/>
    </row>
    <row r="1489" spans="7:8" x14ac:dyDescent="0.3">
      <c r="G1489" s="30"/>
      <c r="H1489" s="30"/>
    </row>
    <row r="1490" spans="7:8" x14ac:dyDescent="0.3">
      <c r="G1490" s="30"/>
      <c r="H1490" s="30"/>
    </row>
    <row r="1491" spans="7:8" x14ac:dyDescent="0.3">
      <c r="G1491" s="30"/>
      <c r="H1491" s="30"/>
    </row>
    <row r="1492" spans="7:8" x14ac:dyDescent="0.3">
      <c r="G1492" s="30"/>
      <c r="H1492" s="30"/>
    </row>
    <row r="1493" spans="7:8" x14ac:dyDescent="0.3">
      <c r="G1493" s="30"/>
      <c r="H1493" s="30"/>
    </row>
    <row r="1494" spans="7:8" x14ac:dyDescent="0.3">
      <c r="G1494" s="30"/>
      <c r="H1494" s="30"/>
    </row>
    <row r="1495" spans="7:8" x14ac:dyDescent="0.3">
      <c r="G1495" s="30"/>
      <c r="H1495" s="30"/>
    </row>
    <row r="1496" spans="7:8" x14ac:dyDescent="0.3">
      <c r="G1496" s="30"/>
      <c r="H1496" s="30"/>
    </row>
    <row r="1497" spans="7:8" x14ac:dyDescent="0.3">
      <c r="G1497" s="30"/>
      <c r="H1497" s="30"/>
    </row>
    <row r="1498" spans="7:8" x14ac:dyDescent="0.3">
      <c r="G1498" s="30"/>
      <c r="H1498" s="30"/>
    </row>
    <row r="1499" spans="7:8" x14ac:dyDescent="0.3">
      <c r="G1499" s="30"/>
      <c r="H1499" s="30"/>
    </row>
    <row r="1500" spans="7:8" x14ac:dyDescent="0.3">
      <c r="G1500" s="30"/>
      <c r="H1500" s="30"/>
    </row>
    <row r="1501" spans="7:8" x14ac:dyDescent="0.3">
      <c r="G1501" s="30"/>
      <c r="H1501" s="30"/>
    </row>
    <row r="1502" spans="7:8" x14ac:dyDescent="0.3">
      <c r="G1502" s="30"/>
      <c r="H1502" s="30"/>
    </row>
    <row r="1503" spans="7:8" x14ac:dyDescent="0.3">
      <c r="G1503" s="30"/>
      <c r="H1503" s="30"/>
    </row>
    <row r="1504" spans="7:8" x14ac:dyDescent="0.3">
      <c r="G1504" s="30"/>
      <c r="H1504" s="30"/>
    </row>
  </sheetData>
  <autoFilter ref="A4:XFC1097" xr:uid="{00000000-0001-0000-0100-000000000000}"/>
  <mergeCells count="2">
    <mergeCell ref="A1:U1"/>
    <mergeCell ref="A2:U2"/>
  </mergeCells>
  <conditionalFormatting sqref="Q3:Q1048576">
    <cfRule type="duplicateValues" dxfId="2" priority="1"/>
  </conditionalFormatting>
  <conditionalFormatting sqref="Q1100:Q1048576 I1098:I1099 Q3:Q1097">
    <cfRule type="duplicateValues" dxfId="1" priority="2"/>
  </conditionalFormatting>
  <conditionalFormatting sqref="Q1101:Q1048576 I1098:I1099 Q3:Q1097">
    <cfRule type="duplicateValues" dxfId="0" priority="3"/>
  </conditionalFormatting>
  <pageMargins left="0.7" right="0.7" top="0.75" bottom="0.75" header="0.3" footer="0.3"/>
  <pageSetup paperSize="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Contratación SDS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Miguel Sandoval Acevedo</dc:creator>
  <cp:lastModifiedBy>John Miguel Sandoval Acevedo</cp:lastModifiedBy>
  <dcterms:created xsi:type="dcterms:W3CDTF">2023-10-26T05:10:32Z</dcterms:created>
  <dcterms:modified xsi:type="dcterms:W3CDTF">2023-10-26T05:12:00Z</dcterms:modified>
</cp:coreProperties>
</file>